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e226963\Downloads\"/>
    </mc:Choice>
  </mc:AlternateContent>
  <xr:revisionPtr revIDLastSave="0" documentId="13_ncr:1_{3A42FE2D-DBAB-4E55-BE58-C50D4659D233}" xr6:coauthVersionLast="45" xr6:coauthVersionMax="45" xr10:uidLastSave="{00000000-0000-0000-0000-000000000000}"/>
  <bookViews>
    <workbookView xWindow="-120" yWindow="-120" windowWidth="20640" windowHeight="11160" xr2:uid="{505E80B4-E140-4334-99C9-44B154D863AE}"/>
  </bookViews>
  <sheets>
    <sheet name="Selector and Force Calculator" sheetId="1" r:id="rId1"/>
    <sheet name="Sheet1" sheetId="2" state="hidden" r:id="rId2"/>
  </sheets>
  <definedNames>
    <definedName name="_xlnm._FilterDatabase" localSheetId="0" hidden="1">'Selector and Force Calculator'!$C$8:$J$40</definedName>
    <definedName name="_xlnm._FilterDatabase" localSheetId="1" hidden="1">Sheet1!$A$1:$R$97</definedName>
    <definedName name="_xlnm.Extract" localSheetId="0">'Selector and Force Calculator'!$J$9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 l="1"/>
  <c r="I29" i="1" l="1"/>
  <c r="J3" i="2" l="1"/>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2" i="2"/>
  <c r="L3" i="2" l="1"/>
  <c r="P3" i="2" s="1"/>
  <c r="L4" i="2"/>
  <c r="P4" i="2" s="1"/>
  <c r="L5" i="2"/>
  <c r="P5" i="2" s="1"/>
  <c r="L6" i="2"/>
  <c r="P6" i="2" s="1"/>
  <c r="L7" i="2"/>
  <c r="P7" i="2" s="1"/>
  <c r="L8" i="2"/>
  <c r="P8" i="2" s="1"/>
  <c r="L9" i="2"/>
  <c r="P9" i="2" s="1"/>
  <c r="L10" i="2"/>
  <c r="P10" i="2" s="1"/>
  <c r="L11" i="2"/>
  <c r="P11" i="2" s="1"/>
  <c r="L12" i="2"/>
  <c r="P12" i="2" s="1"/>
  <c r="L13" i="2"/>
  <c r="P13" i="2" s="1"/>
  <c r="L14" i="2"/>
  <c r="P14" i="2" s="1"/>
  <c r="L15" i="2"/>
  <c r="P15" i="2" s="1"/>
  <c r="L16" i="2"/>
  <c r="P16" i="2" s="1"/>
  <c r="L17" i="2"/>
  <c r="P17" i="2" s="1"/>
  <c r="L18" i="2"/>
  <c r="P18" i="2" s="1"/>
  <c r="L19" i="2"/>
  <c r="P19" i="2" s="1"/>
  <c r="L20" i="2"/>
  <c r="P20" i="2" s="1"/>
  <c r="L21" i="2"/>
  <c r="P21" i="2" s="1"/>
  <c r="L22" i="2"/>
  <c r="P22" i="2" s="1"/>
  <c r="L23" i="2"/>
  <c r="P23" i="2" s="1"/>
  <c r="L24" i="2"/>
  <c r="P24" i="2" s="1"/>
  <c r="L25" i="2"/>
  <c r="P25" i="2" s="1"/>
  <c r="L26" i="2"/>
  <c r="P26" i="2" s="1"/>
  <c r="L27" i="2"/>
  <c r="P27" i="2" s="1"/>
  <c r="L28" i="2"/>
  <c r="P28" i="2" s="1"/>
  <c r="L29" i="2"/>
  <c r="P29" i="2" s="1"/>
  <c r="L30" i="2"/>
  <c r="P30" i="2" s="1"/>
  <c r="L31" i="2"/>
  <c r="P31" i="2" s="1"/>
  <c r="L32" i="2"/>
  <c r="P32" i="2" s="1"/>
  <c r="L33" i="2"/>
  <c r="P33" i="2" s="1"/>
  <c r="L34" i="2"/>
  <c r="P34" i="2" s="1"/>
  <c r="L35" i="2"/>
  <c r="P35" i="2" s="1"/>
  <c r="L36" i="2"/>
  <c r="P36" i="2" s="1"/>
  <c r="L37" i="2"/>
  <c r="P37" i="2" s="1"/>
  <c r="L38" i="2"/>
  <c r="P38" i="2" s="1"/>
  <c r="L39" i="2"/>
  <c r="P39" i="2" s="1"/>
  <c r="L40" i="2"/>
  <c r="P40" i="2" s="1"/>
  <c r="L41" i="2"/>
  <c r="P41" i="2" s="1"/>
  <c r="L42" i="2"/>
  <c r="P42" i="2" s="1"/>
  <c r="L43" i="2"/>
  <c r="P43" i="2" s="1"/>
  <c r="L44" i="2"/>
  <c r="P44" i="2" s="1"/>
  <c r="L45" i="2"/>
  <c r="P45" i="2" s="1"/>
  <c r="L46" i="2"/>
  <c r="P46" i="2" s="1"/>
  <c r="L47" i="2"/>
  <c r="P47" i="2" s="1"/>
  <c r="L48" i="2"/>
  <c r="P48" i="2" s="1"/>
  <c r="L49" i="2"/>
  <c r="P49" i="2" s="1"/>
  <c r="L50" i="2"/>
  <c r="P50" i="2" s="1"/>
  <c r="L51" i="2"/>
  <c r="P51" i="2" s="1"/>
  <c r="L52" i="2"/>
  <c r="P52" i="2" s="1"/>
  <c r="L53" i="2"/>
  <c r="P53" i="2" s="1"/>
  <c r="L54" i="2"/>
  <c r="P54" i="2" s="1"/>
  <c r="L55" i="2"/>
  <c r="P55" i="2" s="1"/>
  <c r="L56" i="2"/>
  <c r="P56" i="2" s="1"/>
  <c r="L57" i="2"/>
  <c r="P57" i="2" s="1"/>
  <c r="L58" i="2"/>
  <c r="P58" i="2" s="1"/>
  <c r="L59" i="2"/>
  <c r="P59" i="2" s="1"/>
  <c r="L60" i="2"/>
  <c r="P60" i="2" s="1"/>
  <c r="L61" i="2"/>
  <c r="P61" i="2" s="1"/>
  <c r="L62" i="2"/>
  <c r="P62" i="2" s="1"/>
  <c r="L63" i="2"/>
  <c r="P63" i="2" s="1"/>
  <c r="L64" i="2"/>
  <c r="P64" i="2" s="1"/>
  <c r="L65" i="2"/>
  <c r="P65" i="2" s="1"/>
  <c r="L66" i="2"/>
  <c r="P66" i="2" s="1"/>
  <c r="L67" i="2"/>
  <c r="P67" i="2" s="1"/>
  <c r="L68" i="2"/>
  <c r="P68" i="2" s="1"/>
  <c r="L69" i="2"/>
  <c r="P69" i="2" s="1"/>
  <c r="L70" i="2"/>
  <c r="P70" i="2" s="1"/>
  <c r="L71" i="2"/>
  <c r="P71" i="2" s="1"/>
  <c r="L72" i="2"/>
  <c r="P72" i="2" s="1"/>
  <c r="L73" i="2"/>
  <c r="P73" i="2" s="1"/>
  <c r="L74" i="2"/>
  <c r="P74" i="2" s="1"/>
  <c r="L75" i="2"/>
  <c r="P75" i="2" s="1"/>
  <c r="L76" i="2"/>
  <c r="P76" i="2" s="1"/>
  <c r="L77" i="2"/>
  <c r="P77" i="2" s="1"/>
  <c r="L78" i="2"/>
  <c r="P78" i="2" s="1"/>
  <c r="L79" i="2"/>
  <c r="P79" i="2" s="1"/>
  <c r="L80" i="2"/>
  <c r="P80" i="2" s="1"/>
  <c r="L81" i="2"/>
  <c r="P81" i="2" s="1"/>
  <c r="L82" i="2"/>
  <c r="P82" i="2" s="1"/>
  <c r="L83" i="2"/>
  <c r="P83" i="2" s="1"/>
  <c r="L84" i="2"/>
  <c r="P84" i="2" s="1"/>
  <c r="L85" i="2"/>
  <c r="P85" i="2" s="1"/>
  <c r="L86" i="2"/>
  <c r="P86" i="2" s="1"/>
  <c r="L87" i="2"/>
  <c r="P87" i="2" s="1"/>
  <c r="L88" i="2"/>
  <c r="P88" i="2" s="1"/>
  <c r="L89" i="2"/>
  <c r="P89" i="2" s="1"/>
  <c r="L90" i="2"/>
  <c r="P90" i="2" s="1"/>
  <c r="L91" i="2"/>
  <c r="P91" i="2" s="1"/>
  <c r="L92" i="2"/>
  <c r="P92" i="2" s="1"/>
  <c r="L93" i="2"/>
  <c r="P93" i="2" s="1"/>
  <c r="L94" i="2"/>
  <c r="P94" i="2" s="1"/>
  <c r="L95" i="2"/>
  <c r="P95" i="2" s="1"/>
  <c r="L96" i="2"/>
  <c r="P96" i="2" s="1"/>
  <c r="L97" i="2"/>
  <c r="P97" i="2" s="1"/>
  <c r="L2" i="2"/>
  <c r="P2" i="2" s="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2" i="2"/>
  <c r="C2" i="1" l="1"/>
  <c r="D2" i="1" s="1"/>
  <c r="J31" i="1" s="1" a="1"/>
  <c r="J31" i="1" s="1"/>
  <c r="J32" i="1" s="1"/>
  <c r="N2" i="2"/>
  <c r="N82" i="2"/>
  <c r="N70" i="2"/>
  <c r="N58" i="2"/>
  <c r="N54" i="2"/>
  <c r="N46" i="2"/>
  <c r="N34" i="2"/>
  <c r="N22" i="2"/>
  <c r="N14" i="2"/>
  <c r="N10" i="2"/>
  <c r="N97" i="2"/>
  <c r="N93" i="2"/>
  <c r="N89" i="2"/>
  <c r="N85" i="2"/>
  <c r="N81" i="2"/>
  <c r="N77" i="2"/>
  <c r="N73" i="2"/>
  <c r="N69" i="2"/>
  <c r="N65" i="2"/>
  <c r="N61" i="2"/>
  <c r="N57" i="2"/>
  <c r="N53" i="2"/>
  <c r="N49" i="2"/>
  <c r="N45" i="2"/>
  <c r="N41" i="2"/>
  <c r="N37" i="2"/>
  <c r="N33" i="2"/>
  <c r="N29" i="2"/>
  <c r="N25" i="2"/>
  <c r="N21" i="2"/>
  <c r="N17" i="2"/>
  <c r="N13" i="2"/>
  <c r="N9" i="2"/>
  <c r="N5" i="2"/>
  <c r="N94" i="2"/>
  <c r="N86" i="2"/>
  <c r="N74" i="2"/>
  <c r="N62" i="2"/>
  <c r="N50" i="2"/>
  <c r="N42" i="2"/>
  <c r="N30" i="2"/>
  <c r="N26" i="2"/>
  <c r="N18" i="2"/>
  <c r="N6" i="2"/>
  <c r="N96" i="2"/>
  <c r="N92" i="2"/>
  <c r="N88" i="2"/>
  <c r="N84" i="2"/>
  <c r="N80" i="2"/>
  <c r="N76" i="2"/>
  <c r="N72" i="2"/>
  <c r="N68" i="2"/>
  <c r="N64" i="2"/>
  <c r="N60" i="2"/>
  <c r="N56" i="2"/>
  <c r="N52" i="2"/>
  <c r="N48" i="2"/>
  <c r="N44" i="2"/>
  <c r="N40" i="2"/>
  <c r="N36" i="2"/>
  <c r="N32" i="2"/>
  <c r="N28" i="2"/>
  <c r="N24" i="2"/>
  <c r="N20" i="2"/>
  <c r="N16" i="2"/>
  <c r="N12" i="2"/>
  <c r="N8" i="2"/>
  <c r="N4" i="2"/>
  <c r="N90" i="2"/>
  <c r="N78" i="2"/>
  <c r="N66" i="2"/>
  <c r="N38" i="2"/>
  <c r="N95" i="2"/>
  <c r="N91" i="2"/>
  <c r="N87" i="2"/>
  <c r="N83" i="2"/>
  <c r="N79" i="2"/>
  <c r="N75" i="2"/>
  <c r="N71" i="2"/>
  <c r="N67" i="2"/>
  <c r="N63" i="2"/>
  <c r="N59" i="2"/>
  <c r="N55" i="2"/>
  <c r="N51" i="2"/>
  <c r="N47" i="2"/>
  <c r="N43" i="2"/>
  <c r="N39" i="2"/>
  <c r="N35" i="2"/>
  <c r="N31" i="2"/>
  <c r="N27" i="2"/>
  <c r="N23" i="2"/>
  <c r="N19" i="2"/>
  <c r="N15" i="2"/>
  <c r="N11" i="2"/>
  <c r="N7" i="2"/>
  <c r="N3" i="2"/>
  <c r="J12" i="1" l="1"/>
  <c r="J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<sst xmlns="http://schemas.openxmlformats.org/spreadsheetml/2006/main" count="710" uniqueCount="255">
  <si>
    <t>Ip</t>
  </si>
  <si>
    <t>kA</t>
  </si>
  <si>
    <t>mm</t>
  </si>
  <si>
    <t>m</t>
  </si>
  <si>
    <t>D</t>
  </si>
  <si>
    <t>N</t>
  </si>
  <si>
    <t>N/m</t>
  </si>
  <si>
    <t>Notes</t>
  </si>
  <si>
    <t>**</t>
  </si>
  <si>
    <t>ER0001-000</t>
  </si>
  <si>
    <t>CC26-38</t>
  </si>
  <si>
    <t>ER0002-000</t>
  </si>
  <si>
    <t>CC26-38-INS</t>
  </si>
  <si>
    <t>ER0003-000</t>
  </si>
  <si>
    <t>CC26-38-SN-M10</t>
  </si>
  <si>
    <t>ER0004-000</t>
  </si>
  <si>
    <t>CC26-38-SN</t>
  </si>
  <si>
    <t>ER0005-000</t>
  </si>
  <si>
    <t>CC26-38-FM</t>
  </si>
  <si>
    <t>ER0006-000</t>
  </si>
  <si>
    <t>CC26-38-CM</t>
  </si>
  <si>
    <t>ER0007-000</t>
  </si>
  <si>
    <t>CC26-38-SN-DOUB</t>
  </si>
  <si>
    <t>ER0008-000</t>
  </si>
  <si>
    <t>CC26-38-FM-DOUB</t>
  </si>
  <si>
    <t>ER0009-000</t>
  </si>
  <si>
    <t>CC26-38-SN-TRIP</t>
  </si>
  <si>
    <t>ER0010-000</t>
  </si>
  <si>
    <t>CC38-50</t>
  </si>
  <si>
    <t>ER0011-000</t>
  </si>
  <si>
    <t>CC38-50-INS</t>
  </si>
  <si>
    <t>ER0012-000</t>
  </si>
  <si>
    <t>CC38-50-SN</t>
  </si>
  <si>
    <t>ER0013-000</t>
  </si>
  <si>
    <t>CC38-50-FM</t>
  </si>
  <si>
    <t>ER0014-000</t>
  </si>
  <si>
    <t>CC38-50-CM</t>
  </si>
  <si>
    <t>ER0015-000</t>
  </si>
  <si>
    <t>CC38-50-SN-DOUB</t>
  </si>
  <si>
    <t>ER0016-000</t>
  </si>
  <si>
    <t>CC38-50-FM-DOUB</t>
  </si>
  <si>
    <t>ER0017-000</t>
  </si>
  <si>
    <t>CC38-50-SN-TRIP</t>
  </si>
  <si>
    <t>ER0018-000</t>
  </si>
  <si>
    <t>CC50-75</t>
  </si>
  <si>
    <t>ER0019-000</t>
  </si>
  <si>
    <t>CC50-75-INS</t>
  </si>
  <si>
    <t>ER0020-000</t>
  </si>
  <si>
    <t>CC50-75-SN</t>
  </si>
  <si>
    <t>ER0021-000</t>
  </si>
  <si>
    <t>CC50-75-FM</t>
  </si>
  <si>
    <t>ER0022-000</t>
  </si>
  <si>
    <t>CC50-75-CM</t>
  </si>
  <si>
    <t>ER0023-000</t>
  </si>
  <si>
    <t>CC50-75-SN-DOUB</t>
  </si>
  <si>
    <t>ER0024-000</t>
  </si>
  <si>
    <t>CC50-75-FM-DOUB</t>
  </si>
  <si>
    <t>ER0025-000</t>
  </si>
  <si>
    <t>CC50-75-SN-TRIP</t>
  </si>
  <si>
    <t>ER0026-000</t>
  </si>
  <si>
    <t>CC75-100</t>
  </si>
  <si>
    <t>ER0027-000</t>
  </si>
  <si>
    <t>CC75-100-INS</t>
  </si>
  <si>
    <t>ER0028-000</t>
  </si>
  <si>
    <t>CC75-100-SN</t>
  </si>
  <si>
    <t>ER0029-000</t>
  </si>
  <si>
    <t>CC75-100-FM</t>
  </si>
  <si>
    <t>ER0030-000</t>
  </si>
  <si>
    <t>CC75-100-CM</t>
  </si>
  <si>
    <t>ER0031-000</t>
  </si>
  <si>
    <t>CC75-100-SN-DOUB</t>
  </si>
  <si>
    <t>ER0032-000</t>
  </si>
  <si>
    <t>CC75-100-FM-DOUB</t>
  </si>
  <si>
    <t>ER0033-000</t>
  </si>
  <si>
    <t>CC100-135</t>
  </si>
  <si>
    <t>ER0034-000</t>
  </si>
  <si>
    <t>CC100-135-INS</t>
  </si>
  <si>
    <t>ER0035-000</t>
  </si>
  <si>
    <t>CC100-135-SN</t>
  </si>
  <si>
    <t>ER0036-000</t>
  </si>
  <si>
    <t>CC100-135-FM</t>
  </si>
  <si>
    <t>ER0037-000</t>
  </si>
  <si>
    <t>CC100-135-CM</t>
  </si>
  <si>
    <t>ER0038-000</t>
  </si>
  <si>
    <t>CC100-135-SN-DOUB</t>
  </si>
  <si>
    <t>ER0039-000</t>
  </si>
  <si>
    <t>CC100-135-FM-DOUB</t>
  </si>
  <si>
    <t>ER0040-000</t>
  </si>
  <si>
    <t>CCD26-38</t>
  </si>
  <si>
    <t>ER0041-000</t>
  </si>
  <si>
    <t>CCD26-38-INS</t>
  </si>
  <si>
    <t>ER0042-000</t>
  </si>
  <si>
    <t>CCD26-38-SN-M10</t>
  </si>
  <si>
    <t>ER0043-000</t>
  </si>
  <si>
    <t>CCD26-38-SN</t>
  </si>
  <si>
    <t>ER0044-000</t>
  </si>
  <si>
    <t>CCD26-38-FM</t>
  </si>
  <si>
    <t>ER0045-000</t>
  </si>
  <si>
    <t>CCD26-38-CM</t>
  </si>
  <si>
    <t>ER0046-000</t>
  </si>
  <si>
    <t>CCD26-38-SN-DOUB</t>
  </si>
  <si>
    <t>ER0047-000</t>
  </si>
  <si>
    <t>CCD26-38-FM-DOUB</t>
  </si>
  <si>
    <t>ER0048-000</t>
  </si>
  <si>
    <t>CCD38-50</t>
  </si>
  <si>
    <t>ER0049-000</t>
  </si>
  <si>
    <t>CCD38-50-INS</t>
  </si>
  <si>
    <t>ER0050-000</t>
  </si>
  <si>
    <t>CCD38-50-SN</t>
  </si>
  <si>
    <t>ER0051-000</t>
  </si>
  <si>
    <t>CCD38-50-FM</t>
  </si>
  <si>
    <t>ER0052-000</t>
  </si>
  <si>
    <t>CCD38-50-CM</t>
  </si>
  <si>
    <t>ER0053-000</t>
  </si>
  <si>
    <t>CCD38-50-SN-DOUB</t>
  </si>
  <si>
    <t>ER0054-000</t>
  </si>
  <si>
    <t>CCD38-50-FM-DOUB</t>
  </si>
  <si>
    <t>ER0055-000</t>
  </si>
  <si>
    <t>CCD50-63</t>
  </si>
  <si>
    <t>ER0056-000</t>
  </si>
  <si>
    <t>CCD50-63-INS</t>
  </si>
  <si>
    <t>ER0058-000</t>
  </si>
  <si>
    <t>CCD50-63-SN</t>
  </si>
  <si>
    <t>ER0059-000</t>
  </si>
  <si>
    <t>CCD50-63-FM</t>
  </si>
  <si>
    <t>ER0060-000</t>
  </si>
  <si>
    <t>CCD50-63-CM</t>
  </si>
  <si>
    <t>ER0061-000</t>
  </si>
  <si>
    <t>CCD50-63-SN-DOUB</t>
  </si>
  <si>
    <t>ER0062-000</t>
  </si>
  <si>
    <t>CCD50-63-FM-DOUB</t>
  </si>
  <si>
    <t>ER0063-000</t>
  </si>
  <si>
    <t>CCD63-75</t>
  </si>
  <si>
    <t>ER0064-000</t>
  </si>
  <si>
    <t>CCD63-75-INS</t>
  </si>
  <si>
    <t>ER0065-000</t>
  </si>
  <si>
    <t>CCD63-75-SN</t>
  </si>
  <si>
    <t>ER0066-000</t>
  </si>
  <si>
    <t>CCD63-75-FM</t>
  </si>
  <si>
    <t>ER0067-000</t>
  </si>
  <si>
    <t>CCD63-75-CM</t>
  </si>
  <si>
    <t>ER0068-000</t>
  </si>
  <si>
    <t>CCD63-75-SN-DOUB</t>
  </si>
  <si>
    <t>ER0069-000</t>
  </si>
  <si>
    <t>CCD63-75-FM-DOUB</t>
  </si>
  <si>
    <t>ER0070-000</t>
  </si>
  <si>
    <t>CCT26-38</t>
  </si>
  <si>
    <t>ER0071-000</t>
  </si>
  <si>
    <t>CCT26-38-INS</t>
  </si>
  <si>
    <t>ER0072-000</t>
  </si>
  <si>
    <t>CCT26-38-SN-M10</t>
  </si>
  <si>
    <t>ER0074-000</t>
  </si>
  <si>
    <t>CCT26-38-SN</t>
  </si>
  <si>
    <t>ER0075-000</t>
  </si>
  <si>
    <t>CCT26-38-FM</t>
  </si>
  <si>
    <t>ER0076-000</t>
  </si>
  <si>
    <t>CCT26-38-CM</t>
  </si>
  <si>
    <t>ER1990-000</t>
  </si>
  <si>
    <t>CCT26-38-SN-DOUB</t>
  </si>
  <si>
    <t>ER1991-000</t>
  </si>
  <si>
    <t>CCT26-38-FM-DOUB</t>
  </si>
  <si>
    <t>ER0077-000</t>
  </si>
  <si>
    <t>CCT38-50</t>
  </si>
  <si>
    <t>ER0078-000</t>
  </si>
  <si>
    <t>CCT38-50-INS</t>
  </si>
  <si>
    <t>ER0079-000</t>
  </si>
  <si>
    <t>CCT38-50-SN</t>
  </si>
  <si>
    <t>ER0080-000</t>
  </si>
  <si>
    <t>CCT38-50-FM</t>
  </si>
  <si>
    <t>ER0081-000</t>
  </si>
  <si>
    <t>CCT38-50-CM</t>
  </si>
  <si>
    <t>ER1992-000</t>
  </si>
  <si>
    <t>CCT38-50-SN-DOUB</t>
  </si>
  <si>
    <t>ER1993-000</t>
  </si>
  <si>
    <t>CCT38-50-FM-DOUB</t>
  </si>
  <si>
    <t>ER0082-000</t>
  </si>
  <si>
    <t>CCT50-63</t>
  </si>
  <si>
    <t>ER0083-000</t>
  </si>
  <si>
    <t>CCT50-63-INS</t>
  </si>
  <si>
    <t>ER0084-000</t>
  </si>
  <si>
    <t>CCT50-63-SN</t>
  </si>
  <si>
    <t>ER0085-000</t>
  </si>
  <si>
    <t>CCT50-63-FM</t>
  </si>
  <si>
    <t>ER0086-000</t>
  </si>
  <si>
    <t>CCT50-63-CM</t>
  </si>
  <si>
    <t>ER1994-000</t>
  </si>
  <si>
    <t>CCT50-63-SN-DOUB</t>
  </si>
  <si>
    <t>ER1995-000</t>
  </si>
  <si>
    <t>CCT50-63-FM-DOUB</t>
  </si>
  <si>
    <t>ER0087-000</t>
  </si>
  <si>
    <t>CCT63-75</t>
  </si>
  <si>
    <t>ER0088-000</t>
  </si>
  <si>
    <t>CCT63-75-INS</t>
  </si>
  <si>
    <t>ER0089-000</t>
  </si>
  <si>
    <t>CCT63-75-SN</t>
  </si>
  <si>
    <t>ER0090-000</t>
  </si>
  <si>
    <t>CCT63-75-FM</t>
  </si>
  <si>
    <t>ER0091-000</t>
  </si>
  <si>
    <t>CCT63-75-CM</t>
  </si>
  <si>
    <t>ER5436-000</t>
  </si>
  <si>
    <t>CCT26-38-POLE</t>
  </si>
  <si>
    <t>Single Assembly</t>
  </si>
  <si>
    <t>Dual Assembly</t>
  </si>
  <si>
    <t>Trefoil Assembly</t>
  </si>
  <si>
    <t>Flat Mount</t>
  </si>
  <si>
    <t>Center Mount</t>
  </si>
  <si>
    <t>Yes</t>
  </si>
  <si>
    <t>No</t>
  </si>
  <si>
    <t>Strut Nut</t>
  </si>
  <si>
    <t>*</t>
  </si>
  <si>
    <t>This calculator is configured to represent force calculations in accordance to Annex B of IEC 61914:2021.</t>
  </si>
  <si>
    <t>***</t>
  </si>
  <si>
    <t>Insert</t>
  </si>
  <si>
    <t>Hardware</t>
  </si>
  <si>
    <t>Min range</t>
  </si>
  <si>
    <t>Max range</t>
  </si>
  <si>
    <t>Part Desc</t>
  </si>
  <si>
    <t>Part Number</t>
  </si>
  <si>
    <t>Range Condition Met</t>
  </si>
  <si>
    <t>Sum</t>
  </si>
  <si>
    <t>Mounting type</t>
  </si>
  <si>
    <t>Hardware Condition</t>
  </si>
  <si>
    <t>Insert Condition</t>
  </si>
  <si>
    <t>Force</t>
  </si>
  <si>
    <t>Cleat Type</t>
  </si>
  <si>
    <t>Cleat Type Met</t>
  </si>
  <si>
    <t>CABLE CLEATS FORCE CALCULATOR* 
AND PRODUCT SELECTOR TOOL</t>
  </si>
  <si>
    <t>Product Selector Tool</t>
  </si>
  <si>
    <t>Search result:</t>
  </si>
  <si>
    <r>
      <t xml:space="preserve">Select your preferred </t>
    </r>
    <r>
      <rPr>
        <b/>
        <sz val="11"/>
        <color rgb="FF747678"/>
        <rFont val="Arial"/>
        <family val="2"/>
      </rPr>
      <t>cable assembly formation</t>
    </r>
    <r>
      <rPr>
        <sz val="11"/>
        <color rgb="FF747678"/>
        <rFont val="Arial"/>
        <family val="2"/>
      </rPr>
      <t xml:space="preserve"> from the drop down list:</t>
    </r>
  </si>
  <si>
    <r>
      <t xml:space="preserve">Select your preferred </t>
    </r>
    <r>
      <rPr>
        <b/>
        <sz val="11"/>
        <color rgb="FF747678"/>
        <rFont val="Arial"/>
        <family val="2"/>
      </rPr>
      <t>cable mounting configuration</t>
    </r>
    <r>
      <rPr>
        <sz val="11"/>
        <color rgb="FF747678"/>
        <rFont val="Arial"/>
        <family val="2"/>
      </rPr>
      <t xml:space="preserve"> from the drop down list:</t>
    </r>
  </si>
  <si>
    <r>
      <t xml:space="preserve">Please enter the values in the </t>
    </r>
    <r>
      <rPr>
        <b/>
        <sz val="12"/>
        <color theme="1" tint="0.249977111117893"/>
        <rFont val="Arial"/>
        <family val="2"/>
      </rPr>
      <t>gray</t>
    </r>
    <r>
      <rPr>
        <sz val="12"/>
        <color theme="1" tint="0.249977111117893"/>
        <rFont val="Arial"/>
        <family val="2"/>
      </rPr>
      <t xml:space="preserve"> cells</t>
    </r>
  </si>
  <si>
    <t>Mounting hardware not required</t>
  </si>
  <si>
    <t>Spacing and Force Calculator*</t>
  </si>
  <si>
    <t>Center-to-center distance "S" in trefoil configuration is the outer diameter of the cable.</t>
  </si>
  <si>
    <r>
      <t>Maximum force calculated</t>
    </r>
    <r>
      <rPr>
        <sz val="11"/>
        <color theme="5"/>
        <rFont val="Arial"/>
        <family val="2"/>
      </rPr>
      <t>*</t>
    </r>
  </si>
  <si>
    <r>
      <t xml:space="preserve">Enter your </t>
    </r>
    <r>
      <rPr>
        <b/>
        <sz val="11"/>
        <color rgb="FF747678"/>
        <rFont val="Arial"/>
        <family val="2"/>
      </rPr>
      <t>cable outer diameter (O.D.)</t>
    </r>
    <r>
      <rPr>
        <sz val="11"/>
        <color rgb="FF747678"/>
        <rFont val="Arial"/>
        <family val="2"/>
      </rPr>
      <t xml:space="preserve">: </t>
    </r>
  </si>
  <si>
    <t>Ft</t>
  </si>
  <si>
    <r>
      <t xml:space="preserve">Peak </t>
    </r>
    <r>
      <rPr>
        <b/>
        <sz val="11"/>
        <color rgb="FF747678"/>
        <rFont val="Arial"/>
        <family val="2"/>
      </rPr>
      <t>short-circuit current</t>
    </r>
    <r>
      <rPr>
        <sz val="11"/>
        <color rgb="FF747678"/>
        <rFont val="Arial"/>
        <family val="2"/>
      </rPr>
      <t xml:space="preserve"> value</t>
    </r>
  </si>
  <si>
    <r>
      <rPr>
        <b/>
        <sz val="11"/>
        <color rgb="FF747678"/>
        <rFont val="Arial"/>
        <family val="2"/>
      </rPr>
      <t>Length</t>
    </r>
    <r>
      <rPr>
        <sz val="11"/>
        <color rgb="FF747678"/>
        <rFont val="Arial"/>
        <family val="2"/>
      </rPr>
      <t xml:space="preserve"> of cable run</t>
    </r>
  </si>
  <si>
    <t>Default Force</t>
  </si>
  <si>
    <t>Default+Type+Range</t>
  </si>
  <si>
    <t>according to the formula (B.7) from IEC 61914</t>
  </si>
  <si>
    <t>Without inserts, the application range of the cable cleat can be extended up to 4mm. Refer to datasheet for details.</t>
  </si>
  <si>
    <t>****</t>
  </si>
  <si>
    <t>It is recommended to install 2-3 Cable Cleats at the start and the end of the cable run to increase the protection of the cable termination against potential fault condition. The recommended total number of cleats on the cable run does not include these additional cleats.</t>
  </si>
  <si>
    <t>pcs</t>
  </si>
  <si>
    <t>Calculated spacing between cable cleats lengthwise based on Ip</t>
  </si>
  <si>
    <r>
      <t>Total number of cable cleats on the cable run</t>
    </r>
    <r>
      <rPr>
        <sz val="11"/>
        <color rgb="FFE98300"/>
        <rFont val="Arial"/>
        <family val="2"/>
      </rPr>
      <t>****</t>
    </r>
  </si>
  <si>
    <r>
      <rPr>
        <b/>
        <sz val="11"/>
        <color rgb="FF747678"/>
        <rFont val="Arial"/>
        <family val="2"/>
      </rPr>
      <t>Center-to-center distance</t>
    </r>
    <r>
      <rPr>
        <sz val="11"/>
        <color rgb="FF747678"/>
        <rFont val="Arial"/>
        <family val="2"/>
      </rPr>
      <t xml:space="preserve"> between two conductors</t>
    </r>
    <r>
      <rPr>
        <sz val="11"/>
        <color theme="5"/>
        <rFont val="Arial"/>
        <family val="2"/>
      </rPr>
      <t>***</t>
    </r>
  </si>
  <si>
    <r>
      <rPr>
        <b/>
        <sz val="11"/>
        <color rgb="FF747678"/>
        <rFont val="Arial"/>
        <family val="2"/>
      </rPr>
      <t>Inserts</t>
    </r>
    <r>
      <rPr>
        <sz val="11"/>
        <color rgb="FF747678"/>
        <rFont val="Arial"/>
        <family val="2"/>
      </rPr>
      <t xml:space="preserve"> required</t>
    </r>
    <r>
      <rPr>
        <sz val="11"/>
        <color rgb="FFE98300"/>
        <rFont val="Arial"/>
        <family val="2"/>
      </rPr>
      <t>**</t>
    </r>
    <r>
      <rPr>
        <sz val="11"/>
        <color rgb="FF747678"/>
        <rFont val="Arial"/>
        <family val="2"/>
      </rPr>
      <t>:</t>
    </r>
  </si>
  <si>
    <t>With EPDM inserts</t>
  </si>
  <si>
    <t>No inserts</t>
  </si>
  <si>
    <t>with EPDM inserts</t>
  </si>
  <si>
    <t>© 2022 TE Connectivity. All Rights Reserved. 
TE, TE Connectivity, TE connectivity (logo), EVERY CONNECTION COUNTS are trademarks owned or licensed by TE Connectivity. Other logos, product and company names mentioned herein may be trademarks of their respective owners. While TE has made every reasonable effort to ensure the accuracy of the information in this document, TE does not guarantee that it is error-free, nor does TE make any other representation, warranty or guarantee that the information is accurate, correct, reliable or current. TE reserves the right to make any adjustments to the information contained herein at any time without notice. TE Connectivity’s obligations shall only be as set forth in TE Connectivity’s Standard Terms and Conditions of Sale for this product and in no case will TE Connectivity be liable for any incidental, indirect or consequential damages arising out of the sale, resale, use or misuse of the product. TE expressly disclaims all implied warranties regarding the information contained herein, including, but not limited to, any implied warranties of merchantability or fitness for a particular purpose. The dimensions, specifications, and/or information contained herein are for reference purposes only and are subject to change without notice. Consult TE for the latest dimensions, specifications, and/or information. Users of TE Connectivity products should make their own evaluation to determine the suitability of each such product for the specific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</si>
</sst>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rgb="FF747678"/>
      <name val="Arial"/>
      <family val="2"/>
    </font>
    <font>
      <b/>
      <sz val="18"/>
      <color rgb="FF747678"/>
      <name val="Arial"/>
      <family val="2"/>
    </font>
    <font>
      <b/>
      <sz val="11"/>
      <color rgb="FF747678"/>
      <name val="Arial"/>
      <family val="2"/>
    </font>
    <font>
      <i/>
      <sz val="10"/>
      <color rgb="FF747678"/>
      <name val="Arial"/>
      <family val="2"/>
    </font>
    <font>
      <b/>
      <sz val="12"/>
      <color rgb="FFE98300"/>
      <name val="Arial"/>
      <family val="2"/>
    </font>
    <font>
      <b/>
      <sz val="11"/>
      <color theme="0"/>
      <name val="Arial"/>
      <family val="2"/>
    </font>
    <font>
      <i/>
      <sz val="12"/>
      <color rgb="FFE98300"/>
      <name val="Arial"/>
      <family val="2"/>
    </font>
    <font>
      <sz val="10"/>
      <name val="Arial"/>
      <family val="2"/>
    </font>
    <font>
      <sz val="11"/>
      <color rgb="FFFF0000"/>
      <name val="Arial"/>
      <family val="2"/>
    </font>
    <font>
      <b/>
      <sz val="14"/>
      <color rgb="FFE98300"/>
      <name val="Arial"/>
      <family val="2"/>
    </font>
    <font>
      <sz val="11"/>
      <color theme="5"/>
      <name val="Arial"/>
      <family val="2"/>
    </font>
    <font>
      <b/>
      <sz val="18"/>
      <color rgb="FFE98300"/>
      <name val="Arial"/>
      <family val="2"/>
    </font>
    <font>
      <b/>
      <sz val="11"/>
      <color theme="1" tint="0.249977111117893"/>
      <name val="Arial"/>
      <family val="2"/>
    </font>
    <font>
      <b/>
      <sz val="14"/>
      <color theme="0"/>
      <name val="Arial"/>
      <family val="2"/>
    </font>
    <font>
      <sz val="12"/>
      <color theme="1" tint="0.249977111117893"/>
      <name val="Arial"/>
      <family val="2"/>
    </font>
    <font>
      <b/>
      <sz val="12"/>
      <color theme="1" tint="0.249977111117893"/>
      <name val="Arial"/>
      <family val="2"/>
    </font>
    <font>
      <sz val="14"/>
      <color rgb="FF747678"/>
      <name val="Arial"/>
      <family val="2"/>
    </font>
    <font>
      <sz val="11"/>
      <color rgb="FFE98300"/>
      <name val="Arial"/>
      <family val="2"/>
    </font>
    <font>
      <sz val="10"/>
      <color theme="0"/>
      <name val="Arial"/>
      <family val="2"/>
    </font>
  </fonts>
  <fills count="6">
    <fill>
      <patternFill patternType="none"/>
    </fill>
    <fill>
      <patternFill patternType="gray125"/>
    </fill>
    <fill>
      <patternFill patternType="solid">
        <fgColor theme="0"/>
        <bgColor indexed="64"/>
      </patternFill>
    </fill>
    <fill>
      <patternFill patternType="solid">
        <fgColor rgb="FFE98300"/>
        <bgColor indexed="64"/>
      </patternFill>
    </fill>
    <fill>
      <patternFill patternType="solid">
        <fgColor rgb="FF2E4957"/>
        <bgColor indexed="64"/>
      </patternFill>
    </fill>
    <fill>
      <patternFill patternType="solid">
        <fgColor rgb="FFBFBFBF"/>
        <bgColor indexed="64"/>
      </patternFill>
    </fill>
  </fills>
  <borders count="13">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2">
    <xf numFmtId="0" fontId="0" fillId="0" borderId="0"/>
    <xf numFmtId="0" fontId="9" fillId="0" borderId="0" applyNumberFormat="0" applyFill="0" applyAlignment="0" applyProtection="0"/>
  </cellStyleXfs>
  <cellXfs count="113">
    <xf numFmtId="0" fontId="0" fillId="0" borderId="0" xfId="0"/>
    <xf numFmtId="0" fontId="1" fillId="2" borderId="0" xfId="0" applyFont="1" applyFill="1" applyBorder="1"/>
    <xf numFmtId="0" fontId="1" fillId="2" borderId="0" xfId="0" applyFont="1" applyFill="1" applyAlignment="1" applyProtection="1">
      <alignment vertical="top"/>
      <protection locked="0"/>
    </xf>
    <xf numFmtId="0" fontId="1" fillId="2" borderId="0" xfId="0" applyFont="1" applyFill="1" applyProtection="1">
      <protection locked="0"/>
    </xf>
    <xf numFmtId="0" fontId="1" fillId="2" borderId="0" xfId="0" applyFont="1" applyFill="1" applyBorder="1" applyAlignment="1" applyProtection="1">
      <alignment vertical="top"/>
      <protection locked="0"/>
    </xf>
    <xf numFmtId="0" fontId="1" fillId="2" borderId="0" xfId="0" applyFont="1" applyFill="1" applyBorder="1" applyProtection="1">
      <protection locked="0"/>
    </xf>
    <xf numFmtId="0" fontId="3" fillId="2" borderId="0" xfId="0" applyFont="1" applyFill="1" applyBorder="1"/>
    <xf numFmtId="0" fontId="2" fillId="2" borderId="0" xfId="0" applyFont="1" applyFill="1" applyBorder="1" applyProtection="1">
      <protection locked="0"/>
    </xf>
    <xf numFmtId="0" fontId="2" fillId="2" borderId="0" xfId="0" applyFont="1" applyFill="1" applyProtection="1">
      <protection locked="0"/>
    </xf>
    <xf numFmtId="0" fontId="2" fillId="2" borderId="0" xfId="0" applyFont="1" applyFill="1" applyBorder="1"/>
    <xf numFmtId="0" fontId="2" fillId="2" borderId="0" xfId="0" applyFont="1" applyFill="1" applyBorder="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Border="1" applyAlignment="1"/>
    <xf numFmtId="0" fontId="2" fillId="2" borderId="0" xfId="0" applyFont="1" applyFill="1" applyBorder="1" applyAlignment="1"/>
    <xf numFmtId="0" fontId="5" fillId="2" borderId="0" xfId="0" applyFont="1" applyFill="1" applyBorder="1" applyAlignment="1">
      <alignment wrapText="1"/>
    </xf>
    <xf numFmtId="0" fontId="10" fillId="2" borderId="0" xfId="0" applyFont="1" applyFill="1" applyBorder="1" applyAlignment="1" applyProtection="1">
      <protection locked="0"/>
    </xf>
    <xf numFmtId="0" fontId="8" fillId="2" borderId="0" xfId="0" applyFont="1" applyFill="1" applyBorder="1" applyAlignment="1">
      <alignment horizontal="center"/>
    </xf>
    <xf numFmtId="0" fontId="8" fillId="2" borderId="0" xfId="0" applyFont="1" applyFill="1" applyBorder="1" applyAlignment="1"/>
    <xf numFmtId="0" fontId="5" fillId="2" borderId="0" xfId="0" applyFont="1" applyFill="1" applyBorder="1" applyAlignment="1" applyProtection="1">
      <alignment wrapText="1"/>
      <protection hidden="1"/>
    </xf>
    <xf numFmtId="0" fontId="4"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hidden="1"/>
    </xf>
    <xf numFmtId="0" fontId="13" fillId="2" borderId="0" xfId="0" applyFont="1" applyFill="1" applyBorder="1" applyAlignment="1">
      <alignment wrapText="1"/>
    </xf>
    <xf numFmtId="0" fontId="8" fillId="2" borderId="5" xfId="0" applyFont="1" applyFill="1" applyBorder="1" applyAlignment="1">
      <alignment horizontal="center"/>
    </xf>
    <xf numFmtId="2" fontId="18" fillId="2" borderId="0" xfId="0" applyNumberFormat="1" applyFont="1" applyFill="1" applyBorder="1" applyAlignment="1">
      <alignment horizontal="center" vertical="center"/>
    </xf>
    <xf numFmtId="0" fontId="2" fillId="2" borderId="0" xfId="0" applyFont="1" applyFill="1" applyBorder="1" applyAlignment="1" applyProtection="1">
      <alignment vertical="center" wrapText="1"/>
      <protection hidden="1"/>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13" fillId="2" borderId="0" xfId="0" applyFont="1" applyFill="1" applyBorder="1" applyAlignment="1">
      <alignment horizontal="center" vertical="center" wrapText="1"/>
    </xf>
    <xf numFmtId="0" fontId="1" fillId="2" borderId="0" xfId="0" applyFont="1" applyFill="1" applyBorder="1" applyAlignment="1" applyProtection="1">
      <alignment horizontal="center" vertical="center"/>
      <protection locked="0"/>
    </xf>
    <xf numFmtId="0" fontId="1" fillId="2" borderId="6" xfId="0" applyFont="1" applyFill="1" applyBorder="1"/>
    <xf numFmtId="0" fontId="2" fillId="2" borderId="0" xfId="0" applyFont="1" applyFill="1" applyBorder="1" applyAlignment="1" applyProtection="1">
      <alignment vertical="top"/>
      <protection locked="0"/>
    </xf>
    <xf numFmtId="0" fontId="16" fillId="2" borderId="0" xfId="0" applyFont="1" applyFill="1" applyBorder="1" applyAlignment="1">
      <alignment horizontal="left" vertical="center"/>
    </xf>
    <xf numFmtId="0" fontId="11" fillId="2" borderId="3" xfId="0" applyFont="1" applyFill="1" applyBorder="1" applyAlignment="1">
      <alignment vertical="center" wrapText="1"/>
    </xf>
    <xf numFmtId="0" fontId="1" fillId="2" borderId="2" xfId="0" applyFont="1" applyFill="1" applyBorder="1" applyProtection="1">
      <protection locked="0"/>
    </xf>
    <xf numFmtId="0" fontId="1" fillId="2" borderId="5" xfId="0" applyFont="1" applyFill="1" applyBorder="1" applyProtection="1">
      <protection locked="0"/>
    </xf>
    <xf numFmtId="0" fontId="6" fillId="2" borderId="5" xfId="0" applyFont="1" applyFill="1" applyBorder="1" applyAlignment="1" applyProtection="1">
      <alignment horizontal="right"/>
      <protection hidden="1"/>
    </xf>
    <xf numFmtId="0" fontId="6" fillId="2" borderId="5" xfId="0" applyFont="1" applyFill="1" applyBorder="1" applyAlignment="1" applyProtection="1">
      <alignment horizontal="right" vertical="top"/>
      <protection hidden="1"/>
    </xf>
    <xf numFmtId="0" fontId="6" fillId="2" borderId="2" xfId="0" applyFont="1" applyFill="1" applyBorder="1" applyAlignment="1" applyProtection="1">
      <alignment horizontal="right"/>
      <protection hidden="1"/>
    </xf>
    <xf numFmtId="1" fontId="18" fillId="2" borderId="0" xfId="0" applyNumberFormat="1" applyFont="1" applyFill="1" applyBorder="1" applyAlignment="1" applyProtection="1">
      <alignment horizontal="center" vertical="center"/>
    </xf>
    <xf numFmtId="0" fontId="9" fillId="0" borderId="0" xfId="0" applyFont="1" applyBorder="1" applyAlignment="1">
      <alignment vertical="center" wrapText="1"/>
    </xf>
    <xf numFmtId="49"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xf>
    <xf numFmtId="0" fontId="9" fillId="0" borderId="0" xfId="0" applyFont="1" applyBorder="1" applyAlignment="1">
      <alignment horizontal="left" vertical="center"/>
    </xf>
    <xf numFmtId="0" fontId="9" fillId="2" borderId="0" xfId="1" applyNumberFormat="1" applyFont="1" applyFill="1" applyBorder="1" applyAlignment="1">
      <alignment horizontal="left" vertical="center"/>
    </xf>
    <xf numFmtId="0" fontId="9" fillId="0" borderId="0" xfId="0" applyFont="1" applyBorder="1"/>
    <xf numFmtId="0" fontId="2" fillId="2" borderId="0"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wrapText="1"/>
      <protection hidden="1"/>
    </xf>
    <xf numFmtId="0" fontId="6" fillId="2" borderId="0" xfId="0" applyFont="1" applyFill="1" applyBorder="1" applyAlignment="1" applyProtection="1">
      <protection hidden="1"/>
    </xf>
    <xf numFmtId="0" fontId="1" fillId="2" borderId="7" xfId="0" applyFont="1" applyFill="1" applyBorder="1" applyProtection="1">
      <protection locked="0"/>
    </xf>
    <xf numFmtId="0" fontId="2" fillId="2" borderId="1" xfId="0" applyFont="1" applyFill="1" applyBorder="1" applyAlignment="1" applyProtection="1">
      <alignment horizontal="right" vertical="center"/>
      <protection hidden="1"/>
    </xf>
    <xf numFmtId="49" fontId="5" fillId="2" borderId="0" xfId="0" applyNumberFormat="1" applyFont="1" applyFill="1" applyBorder="1" applyAlignment="1" applyProtection="1">
      <alignment horizontal="left" vertical="top" wrapText="1"/>
      <protection hidden="1"/>
    </xf>
    <xf numFmtId="1" fontId="7" fillId="4" borderId="5" xfId="0" applyNumberFormat="1" applyFont="1" applyFill="1" applyBorder="1" applyAlignment="1" applyProtection="1">
      <alignment horizontal="center" vertical="center"/>
      <protection hidden="1"/>
    </xf>
    <xf numFmtId="1" fontId="7" fillId="4" borderId="6" xfId="0"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1" xfId="0" applyFont="1" applyFill="1" applyBorder="1" applyAlignment="1">
      <alignment horizontal="right"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wrapText="1"/>
      <protection hidden="1"/>
    </xf>
    <xf numFmtId="0" fontId="2" fillId="2" borderId="10" xfId="0" applyFont="1" applyFill="1" applyBorder="1" applyAlignment="1">
      <alignment horizontal="right" vertical="center" indent="1"/>
    </xf>
    <xf numFmtId="0" fontId="2" fillId="2" borderId="11" xfId="0" applyFont="1" applyFill="1" applyBorder="1" applyAlignment="1">
      <alignment horizontal="right" vertical="center" indent="1"/>
    </xf>
    <xf numFmtId="0" fontId="2" fillId="2" borderId="2" xfId="0" applyFont="1" applyFill="1" applyBorder="1" applyAlignment="1">
      <alignment horizontal="right" vertical="center" indent="1"/>
    </xf>
    <xf numFmtId="0" fontId="2" fillId="2" borderId="3" xfId="0" applyFont="1" applyFill="1" applyBorder="1" applyAlignment="1">
      <alignment horizontal="right" vertical="center" inden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2" fontId="7" fillId="4" borderId="5" xfId="0" applyNumberFormat="1" applyFont="1" applyFill="1" applyBorder="1" applyAlignment="1" applyProtection="1">
      <alignment horizontal="center" vertical="center"/>
      <protection hidden="1"/>
    </xf>
    <xf numFmtId="2" fontId="7" fillId="4" borderId="6" xfId="0" applyNumberFormat="1" applyFont="1" applyFill="1" applyBorder="1" applyAlignment="1" applyProtection="1">
      <alignment horizontal="center" vertical="center"/>
      <protection hidden="1"/>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5" fillId="3" borderId="5" xfId="0" applyFont="1" applyFill="1" applyBorder="1" applyAlignment="1">
      <alignment horizontal="left" vertical="center"/>
    </xf>
    <xf numFmtId="0" fontId="15" fillId="3" borderId="0" xfId="0" applyFont="1" applyFill="1" applyBorder="1" applyAlignment="1">
      <alignment horizontal="left" vertical="center"/>
    </xf>
    <xf numFmtId="0" fontId="15" fillId="3" borderId="6" xfId="0" applyFont="1" applyFill="1" applyBorder="1" applyAlignment="1">
      <alignment horizontal="left" vertical="center"/>
    </xf>
    <xf numFmtId="0" fontId="7" fillId="4" borderId="8"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6" fillId="2" borderId="12" xfId="0" applyFont="1" applyFill="1" applyBorder="1" applyAlignment="1" applyProtection="1">
      <alignment horizontal="center"/>
      <protection hidden="1"/>
    </xf>
    <xf numFmtId="0" fontId="2" fillId="2" borderId="0"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protection hidden="1"/>
    </xf>
    <xf numFmtId="0" fontId="20" fillId="0" borderId="0" xfId="1" applyNumberFormat="1" applyFont="1" applyFill="1" applyBorder="1" applyAlignment="1" applyProtection="1">
      <alignment horizontal="center" vertical="center"/>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center" vertical="center" wrapText="1"/>
      <protection hidden="1"/>
    </xf>
    <xf numFmtId="0" fontId="9" fillId="0" borderId="0" xfId="0" applyFont="1" applyFill="1" applyAlignment="1" applyProtection="1">
      <alignment vertical="center" wrapText="1"/>
      <protection hidden="1"/>
    </xf>
    <xf numFmtId="49" fontId="20" fillId="0" borderId="0" xfId="1" applyNumberFormat="1" applyFont="1" applyFill="1" applyBorder="1" applyAlignment="1" applyProtection="1">
      <alignment horizontal="left" vertical="center"/>
      <protection hidden="1"/>
    </xf>
    <xf numFmtId="1" fontId="20" fillId="0" borderId="0" xfId="1" applyNumberFormat="1" applyFont="1" applyFill="1" applyBorder="1" applyAlignment="1" applyProtection="1">
      <alignment horizontal="center" vertical="center"/>
      <protection hidden="1"/>
    </xf>
    <xf numFmtId="49" fontId="20" fillId="0" borderId="0" xfId="1" applyNumberFormat="1" applyFont="1" applyFill="1" applyBorder="1" applyAlignment="1" applyProtection="1">
      <alignment horizontal="center" vertical="center"/>
      <protection hidden="1"/>
    </xf>
    <xf numFmtId="1" fontId="20" fillId="0" borderId="0" xfId="1" applyNumberFormat="1" applyFont="1" applyFill="1" applyBorder="1" applyAlignment="1" applyProtection="1">
      <alignment horizontal="right" vertical="center"/>
      <protection hidden="1"/>
    </xf>
    <xf numFmtId="0" fontId="20" fillId="0" borderId="0" xfId="1" applyNumberFormat="1" applyFont="1" applyFill="1" applyBorder="1" applyAlignment="1" applyProtection="1">
      <alignment horizontal="left" vertical="center"/>
      <protection hidden="1"/>
    </xf>
    <xf numFmtId="0" fontId="20" fillId="0" borderId="0" xfId="0" applyFont="1" applyFill="1" applyBorder="1" applyProtection="1">
      <protection hidden="1"/>
    </xf>
    <xf numFmtId="0" fontId="9" fillId="0" borderId="0" xfId="0" applyFont="1" applyFill="1" applyProtection="1">
      <protection hidden="1"/>
    </xf>
    <xf numFmtId="0" fontId="20" fillId="0" borderId="0" xfId="0" applyFont="1" applyFill="1" applyBorder="1" applyAlignment="1" applyProtection="1">
      <alignment horizontal="left" vertical="center"/>
      <protection hidden="1"/>
    </xf>
    <xf numFmtId="0" fontId="20" fillId="0" borderId="0" xfId="1" applyNumberFormat="1" applyFont="1" applyFill="1" applyBorder="1" applyAlignment="1" applyProtection="1">
      <alignment horizontal="right" vertical="center"/>
      <protection hidden="1"/>
    </xf>
    <xf numFmtId="0" fontId="20" fillId="0" borderId="0" xfId="0" applyFont="1" applyFill="1" applyBorder="1" applyAlignment="1" applyProtection="1">
      <alignment horizontal="center"/>
      <protection hidden="1"/>
    </xf>
    <xf numFmtId="0" fontId="20" fillId="0" borderId="0" xfId="0" applyFont="1" applyFill="1" applyAlignment="1" applyProtection="1">
      <alignment vertical="center" wrapText="1"/>
      <protection hidden="1"/>
    </xf>
    <xf numFmtId="0" fontId="20" fillId="0" borderId="0" xfId="0" applyFont="1" applyFill="1" applyProtection="1">
      <protection hidden="1"/>
    </xf>
  </cellXfs>
  <cellStyles count="2">
    <cellStyle name="Normal" xfId="0" builtinId="0"/>
    <cellStyle name="Normal 3" xfId="1" xr:uid="{559744B6-1718-407A-8E28-B25D2ECD955D}"/>
  </cellStyles>
  <dxfs count="1">
    <dxf>
      <font>
        <strike/>
        <color rgb="FF2E4957"/>
      </font>
      <fill>
        <patternFill patternType="solid">
          <fgColor theme="0"/>
          <bgColor rgb="FF2E4957"/>
        </patternFill>
      </fill>
    </dxf>
  </dxfs>
  <tableStyles count="0" defaultTableStyle="TableStyleMedium2" defaultPivotStyle="PivotStyleLight16"/>
  <colors>
    <mruColors>
      <color rgb="FFE98300"/>
      <color rgb="FF2E4957"/>
      <color rgb="FFBFBFBF"/>
      <color rgb="FF7476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29103</xdr:colOff>
      <xdr:row>0</xdr:row>
      <xdr:rowOff>0</xdr:rowOff>
    </xdr:from>
    <xdr:to>
      <xdr:col>5</xdr:col>
      <xdr:colOff>539287</xdr:colOff>
      <xdr:row>5</xdr:row>
      <xdr:rowOff>38494</xdr:rowOff>
    </xdr:to>
    <xdr:pic>
      <xdr:nvPicPr>
        <xdr:cNvPr id="23" name="Form">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6" y="0"/>
          <a:ext cx="2245850" cy="1477827"/>
        </a:xfrm>
        <a:prstGeom prst="rect">
          <a:avLst/>
        </a:prstGeom>
      </xdr:spPr>
    </xdr:pic>
    <xdr:clientData/>
  </xdr:twoCellAnchor>
  <xdr:twoCellAnchor>
    <xdr:from>
      <xdr:col>2</xdr:col>
      <xdr:colOff>31749</xdr:colOff>
      <xdr:row>33</xdr:row>
      <xdr:rowOff>138904</xdr:rowOff>
    </xdr:from>
    <xdr:to>
      <xdr:col>5</xdr:col>
      <xdr:colOff>322790</xdr:colOff>
      <xdr:row>38</xdr:row>
      <xdr:rowOff>134740</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517524" y="7006429"/>
          <a:ext cx="1815041" cy="900711"/>
          <a:chOff x="25539" y="0"/>
          <a:chExt cx="4664163" cy="2435701"/>
        </a:xfrm>
      </xdr:grpSpPr>
      <xdr:sp macro="" textlink="">
        <xdr:nvSpPr>
          <xdr:cNvPr id="33" name="Circle: Hollow 32">
            <a:extLst>
              <a:ext uri="{FF2B5EF4-FFF2-40B4-BE49-F238E27FC236}">
                <a16:creationId xmlns:a16="http://schemas.microsoft.com/office/drawing/2014/main" id="{00000000-0008-0000-0000-000021000000}"/>
              </a:ext>
            </a:extLst>
          </xdr:cNvPr>
          <xdr:cNvSpPr/>
        </xdr:nvSpPr>
        <xdr:spPr>
          <a:xfrm>
            <a:off x="25539" y="1140301"/>
            <a:ext cx="1333501"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34" name="Circle: Hollow 33">
            <a:extLst>
              <a:ext uri="{FF2B5EF4-FFF2-40B4-BE49-F238E27FC236}">
                <a16:creationId xmlns:a16="http://schemas.microsoft.com/office/drawing/2014/main" id="{00000000-0008-0000-0000-000022000000}"/>
              </a:ext>
            </a:extLst>
          </xdr:cNvPr>
          <xdr:cNvSpPr/>
        </xdr:nvSpPr>
        <xdr:spPr>
          <a:xfrm>
            <a:off x="1406247" y="1109027"/>
            <a:ext cx="1333500"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35" name="Circle: Hollow 34">
            <a:extLst>
              <a:ext uri="{FF2B5EF4-FFF2-40B4-BE49-F238E27FC236}">
                <a16:creationId xmlns:a16="http://schemas.microsoft.com/office/drawing/2014/main" id="{00000000-0008-0000-0000-000023000000}"/>
              </a:ext>
            </a:extLst>
          </xdr:cNvPr>
          <xdr:cNvSpPr/>
        </xdr:nvSpPr>
        <xdr:spPr>
          <a:xfrm>
            <a:off x="695325" y="0"/>
            <a:ext cx="1333500"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flipV="1">
            <a:off x="1610971" y="658636"/>
            <a:ext cx="971551" cy="638177"/>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0000000-0008-0000-0000-000025000000}"/>
              </a:ext>
            </a:extLst>
          </xdr:cNvPr>
          <xdr:cNvCxnSpPr/>
        </xdr:nvCxnSpPr>
        <xdr:spPr>
          <a:xfrm flipV="1">
            <a:off x="2385532" y="1729565"/>
            <a:ext cx="971551" cy="638177"/>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2766917" y="567880"/>
            <a:ext cx="1922785" cy="9785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spcAft>
                <a:spcPts val="0"/>
              </a:spcAft>
            </a:pPr>
            <a:r>
              <a:rPr lang="en-US" sz="1100" b="1" kern="1200">
                <a:solidFill>
                  <a:srgbClr val="666666">
                    <a:lumMod val="75000"/>
                  </a:srgbClr>
                </a:solidFill>
                <a:effectLst/>
                <a:latin typeface="Arial" panose="020B0604020202020204" pitchFamily="34" charset="0"/>
                <a:ea typeface="Times New Roman" panose="02020603050405020304" pitchFamily="18" charset="0"/>
                <a:cs typeface="Times New Roman" panose="02020603050405020304" pitchFamily="18" charset="0"/>
              </a:rPr>
              <a:t>S=O.D.</a:t>
            </a:r>
            <a:endParaRPr lang="en-AU" sz="1000" b="1">
              <a:solidFill>
                <a:srgbClr val="666666">
                  <a:lumMod val="75000"/>
                </a:srgbClr>
              </a:solidFill>
              <a:effectLst/>
              <a:latin typeface="Arial" panose="020B0604020202020204" pitchFamily="34" charset="0"/>
              <a:ea typeface="Times New Roman" panose="02020603050405020304" pitchFamily="18" charset="0"/>
            </a:endParaRPr>
          </a:p>
        </xdr:txBody>
      </xdr:sp>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a:off x="2490307" y="715479"/>
            <a:ext cx="762001" cy="1076325"/>
          </a:xfrm>
          <a:prstGeom prst="straightConnector1">
            <a:avLst/>
          </a:prstGeom>
          <a:noFill/>
          <a:ln w="12700" cap="flat" cmpd="sng" algn="ctr">
            <a:solidFill>
              <a:srgbClr val="666666"/>
            </a:solidFill>
            <a:prstDash val="solid"/>
            <a:miter lim="800000"/>
            <a:headEnd type="triangle"/>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498738</xdr:colOff>
      <xdr:row>33</xdr:row>
      <xdr:rowOff>70112</xdr:rowOff>
    </xdr:from>
    <xdr:to>
      <xdr:col>7</xdr:col>
      <xdr:colOff>1092180</xdr:colOff>
      <xdr:row>38</xdr:row>
      <xdr:rowOff>96492</xdr:rowOff>
    </xdr:to>
    <xdr:grpSp>
      <xdr:nvGrpSpPr>
        <xdr:cNvPr id="51" name="Group 50">
          <a:extLst>
            <a:ext uri="{FF2B5EF4-FFF2-40B4-BE49-F238E27FC236}">
              <a16:creationId xmlns:a16="http://schemas.microsoft.com/office/drawing/2014/main" id="{00000000-0008-0000-0000-000033000000}"/>
            </a:ext>
          </a:extLst>
        </xdr:cNvPr>
        <xdr:cNvGrpSpPr/>
      </xdr:nvGrpSpPr>
      <xdr:grpSpPr>
        <a:xfrm>
          <a:off x="2508513" y="6937637"/>
          <a:ext cx="1812642" cy="931255"/>
          <a:chOff x="0" y="-432461"/>
          <a:chExt cx="4676775" cy="2375561"/>
        </a:xfrm>
      </xdr:grpSpPr>
      <xdr:sp macro="" textlink="">
        <xdr:nvSpPr>
          <xdr:cNvPr id="52" name="Circle: Hollow 51">
            <a:extLst>
              <a:ext uri="{FF2B5EF4-FFF2-40B4-BE49-F238E27FC236}">
                <a16:creationId xmlns:a16="http://schemas.microsoft.com/office/drawing/2014/main" id="{00000000-0008-0000-0000-000034000000}"/>
              </a:ext>
            </a:extLst>
          </xdr:cNvPr>
          <xdr:cNvSpPr/>
        </xdr:nvSpPr>
        <xdr:spPr>
          <a:xfrm>
            <a:off x="3343275" y="647700"/>
            <a:ext cx="1333500"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53" name="Circle: Hollow 52">
            <a:extLst>
              <a:ext uri="{FF2B5EF4-FFF2-40B4-BE49-F238E27FC236}">
                <a16:creationId xmlns:a16="http://schemas.microsoft.com/office/drawing/2014/main" id="{00000000-0008-0000-0000-000035000000}"/>
              </a:ext>
            </a:extLst>
          </xdr:cNvPr>
          <xdr:cNvSpPr/>
        </xdr:nvSpPr>
        <xdr:spPr>
          <a:xfrm>
            <a:off x="1704975" y="619125"/>
            <a:ext cx="1333500"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54" name="Circle: Hollow 53">
            <a:extLst>
              <a:ext uri="{FF2B5EF4-FFF2-40B4-BE49-F238E27FC236}">
                <a16:creationId xmlns:a16="http://schemas.microsoft.com/office/drawing/2014/main" id="{00000000-0008-0000-0000-000036000000}"/>
              </a:ext>
            </a:extLst>
          </xdr:cNvPr>
          <xdr:cNvSpPr/>
        </xdr:nvSpPr>
        <xdr:spPr>
          <a:xfrm>
            <a:off x="0" y="638175"/>
            <a:ext cx="1333500" cy="1295400"/>
          </a:xfrm>
          <a:prstGeom prst="donut">
            <a:avLst/>
          </a:prstGeom>
          <a:solidFill>
            <a:srgbClr val="E98300"/>
          </a:solidFill>
          <a:ln w="12700" cap="flat" cmpd="sng" algn="ctr">
            <a:solidFill>
              <a:srgbClr val="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cxnSp macro="">
        <xdr:nvCxnSpPr>
          <xdr:cNvPr id="55" name="Straight Connector 54">
            <a:extLst>
              <a:ext uri="{FF2B5EF4-FFF2-40B4-BE49-F238E27FC236}">
                <a16:creationId xmlns:a16="http://schemas.microsoft.com/office/drawing/2014/main" id="{00000000-0008-0000-0000-000037000000}"/>
              </a:ext>
            </a:extLst>
          </xdr:cNvPr>
          <xdr:cNvCxnSpPr/>
        </xdr:nvCxnSpPr>
        <xdr:spPr>
          <a:xfrm flipV="1">
            <a:off x="685801" y="57153"/>
            <a:ext cx="0" cy="1162050"/>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00000000-0008-0000-0000-000038000000}"/>
              </a:ext>
            </a:extLst>
          </xdr:cNvPr>
          <xdr:cNvCxnSpPr/>
        </xdr:nvCxnSpPr>
        <xdr:spPr>
          <a:xfrm>
            <a:off x="762000" y="190501"/>
            <a:ext cx="1552575" cy="0"/>
          </a:xfrm>
          <a:prstGeom prst="straightConnector1">
            <a:avLst/>
          </a:prstGeom>
          <a:noFill/>
          <a:ln w="12700" cap="flat" cmpd="sng" algn="ctr">
            <a:solidFill>
              <a:srgbClr val="666666"/>
            </a:solidFill>
            <a:prstDash val="solid"/>
            <a:miter lim="800000"/>
            <a:headEnd type="triangle"/>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flipV="1">
            <a:off x="2381250" y="57153"/>
            <a:ext cx="0" cy="1162050"/>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flipV="1">
            <a:off x="4010026" y="85728"/>
            <a:ext cx="0" cy="1162050"/>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59" name="Straight Arrow Connector 58">
            <a:extLst>
              <a:ext uri="{FF2B5EF4-FFF2-40B4-BE49-F238E27FC236}">
                <a16:creationId xmlns:a16="http://schemas.microsoft.com/office/drawing/2014/main" id="{00000000-0008-0000-0000-00003B000000}"/>
              </a:ext>
            </a:extLst>
          </xdr:cNvPr>
          <xdr:cNvCxnSpPr/>
        </xdr:nvCxnSpPr>
        <xdr:spPr>
          <a:xfrm>
            <a:off x="2428875" y="180974"/>
            <a:ext cx="1552575" cy="0"/>
          </a:xfrm>
          <a:prstGeom prst="straightConnector1">
            <a:avLst/>
          </a:prstGeom>
          <a:noFill/>
          <a:ln w="12700" cap="flat" cmpd="sng" algn="ctr">
            <a:solidFill>
              <a:srgbClr val="666666"/>
            </a:solidFill>
            <a:prstDash val="solid"/>
            <a:miter lim="800000"/>
            <a:headEnd type="triangle"/>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2999638" y="-432461"/>
            <a:ext cx="263143" cy="41592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spcAft>
                <a:spcPts val="0"/>
              </a:spcAft>
            </a:pPr>
            <a:r>
              <a:rPr kumimoji="0" lang="en-US" sz="1100" b="1" i="0" u="none" strike="noStrike" kern="1200" cap="none" spc="0" normalizeH="0" baseline="0" noProof="0">
                <a:ln>
                  <a:noFill/>
                </a:ln>
                <a:solidFill>
                  <a:srgbClr val="666666">
                    <a:lumMod val="75000"/>
                  </a:srgbClr>
                </a:solidFill>
                <a:effectLst/>
                <a:uLnTx/>
                <a:uFillTx/>
                <a:latin typeface="Arial" panose="020B0604020202020204" pitchFamily="34" charset="0"/>
                <a:ea typeface="Times New Roman" panose="02020603050405020304" pitchFamily="18" charset="0"/>
                <a:cs typeface="Times New Roman" panose="02020603050405020304" pitchFamily="18" charset="0"/>
              </a:rPr>
              <a:t>S</a:t>
            </a:r>
            <a:r>
              <a:rPr lang="en-AU" sz="1400">
                <a:effectLst/>
                <a:latin typeface="Times New Roman" panose="02020603050405020304" pitchFamily="18" charset="0"/>
                <a:ea typeface="Times New Roman" panose="02020603050405020304" pitchFamily="18" charset="0"/>
              </a:rPr>
              <a:t> </a:t>
            </a:r>
            <a:endParaRPr lang="en-AU" sz="1100">
              <a:effectLst/>
              <a:latin typeface="Times New Roman" panose="02020603050405020304" pitchFamily="18" charset="0"/>
              <a:ea typeface="Times New Roman" panose="02020603050405020304" pitchFamily="18" charset="0"/>
            </a:endParaRPr>
          </a:p>
        </xdr:txBody>
      </xdr:sp>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1333500" y="-426779"/>
            <a:ext cx="263143" cy="41592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spcAft>
                <a:spcPts val="0"/>
              </a:spcAft>
            </a:pPr>
            <a:r>
              <a:rPr kumimoji="0" lang="en-US" sz="1100" b="1" i="0" u="none" strike="noStrike" kern="1200" cap="none" spc="0" normalizeH="0" baseline="0" noProof="0">
                <a:ln>
                  <a:noFill/>
                </a:ln>
                <a:solidFill>
                  <a:srgbClr val="666666">
                    <a:lumMod val="75000"/>
                  </a:srgbClr>
                </a:solidFill>
                <a:effectLst/>
                <a:uLnTx/>
                <a:uFillTx/>
                <a:latin typeface="Arial" panose="020B0604020202020204" pitchFamily="34" charset="0"/>
                <a:ea typeface="Times New Roman" panose="02020603050405020304" pitchFamily="18" charset="0"/>
                <a:cs typeface="Times New Roman" panose="02020603050405020304" pitchFamily="18" charset="0"/>
              </a:rPr>
              <a:t>S</a:t>
            </a:r>
            <a:endParaRPr lang="en-AU" sz="1100">
              <a:solidFill>
                <a:schemeClr val="bg2">
                  <a:lumMod val="50000"/>
                </a:schemeClr>
              </a:solidFill>
              <a:effectLst/>
              <a:latin typeface="Arial" panose="020B0604020202020204" pitchFamily="34" charset="0"/>
              <a:ea typeface="Times New Roman" panose="02020603050405020304" pitchFamily="18" charset="0"/>
              <a:cs typeface="Arial" panose="020B0604020202020204" pitchFamily="34" charset="0"/>
            </a:endParaRPr>
          </a:p>
        </xdr:txBody>
      </xdr:sp>
    </xdr:grpSp>
    <xdr:clientData/>
  </xdr:twoCellAnchor>
  <xdr:twoCellAnchor>
    <xdr:from>
      <xdr:col>7</xdr:col>
      <xdr:colOff>1502836</xdr:colOff>
      <xdr:row>35</xdr:row>
      <xdr:rowOff>58207</xdr:rowOff>
    </xdr:from>
    <xdr:to>
      <xdr:col>9</xdr:col>
      <xdr:colOff>941919</xdr:colOff>
      <xdr:row>40</xdr:row>
      <xdr:rowOff>52916</xdr:rowOff>
    </xdr:to>
    <xdr:grpSp>
      <xdr:nvGrpSpPr>
        <xdr:cNvPr id="73" name="Group 72">
          <a:extLst>
            <a:ext uri="{FF2B5EF4-FFF2-40B4-BE49-F238E27FC236}">
              <a16:creationId xmlns:a16="http://schemas.microsoft.com/office/drawing/2014/main" id="{00000000-0008-0000-0000-000049000000}"/>
            </a:ext>
          </a:extLst>
        </xdr:cNvPr>
        <xdr:cNvGrpSpPr/>
      </xdr:nvGrpSpPr>
      <xdr:grpSpPr>
        <a:xfrm>
          <a:off x="4731811" y="7287682"/>
          <a:ext cx="2315633" cy="899584"/>
          <a:chOff x="0" y="0"/>
          <a:chExt cx="2202236" cy="616649"/>
        </a:xfrm>
      </xdr:grpSpPr>
      <xdr:sp macro="" textlink="">
        <xdr:nvSpPr>
          <xdr:cNvPr id="74" name="Rectangle 73">
            <a:extLst>
              <a:ext uri="{FF2B5EF4-FFF2-40B4-BE49-F238E27FC236}">
                <a16:creationId xmlns:a16="http://schemas.microsoft.com/office/drawing/2014/main" id="{00000000-0008-0000-0000-00004A000000}"/>
              </a:ext>
            </a:extLst>
          </xdr:cNvPr>
          <xdr:cNvSpPr/>
        </xdr:nvSpPr>
        <xdr:spPr>
          <a:xfrm>
            <a:off x="0" y="94087"/>
            <a:ext cx="1955260" cy="72958"/>
          </a:xfrm>
          <a:prstGeom prst="rect">
            <a:avLst/>
          </a:prstGeom>
          <a:solidFill>
            <a:srgbClr val="E98300"/>
          </a:solidFill>
          <a:ln w="12700" cap="flat" cmpd="sng" algn="ctr">
            <a:solidFill>
              <a:srgbClr val="000000"/>
            </a:solidFill>
            <a:prstDash val="solid"/>
            <a:miter lim="800000"/>
          </a:ln>
          <a:effectLst/>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75" name="Rectangle 74">
            <a:extLst>
              <a:ext uri="{FF2B5EF4-FFF2-40B4-BE49-F238E27FC236}">
                <a16:creationId xmlns:a16="http://schemas.microsoft.com/office/drawing/2014/main" id="{00000000-0008-0000-0000-00004B000000}"/>
              </a:ext>
            </a:extLst>
          </xdr:cNvPr>
          <xdr:cNvSpPr/>
        </xdr:nvSpPr>
        <xdr:spPr>
          <a:xfrm>
            <a:off x="126428" y="38223"/>
            <a:ext cx="1955260" cy="72958"/>
          </a:xfrm>
          <a:prstGeom prst="rect">
            <a:avLst/>
          </a:prstGeom>
          <a:solidFill>
            <a:srgbClr val="E98300"/>
          </a:solidFill>
          <a:ln w="12700" cap="flat" cmpd="sng" algn="ctr">
            <a:solidFill>
              <a:srgbClr val="000000"/>
            </a:solidFill>
            <a:prstDash val="solid"/>
            <a:miter lim="800000"/>
          </a:ln>
          <a:effectLst/>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76" name="Rectangle 75">
            <a:extLst>
              <a:ext uri="{FF2B5EF4-FFF2-40B4-BE49-F238E27FC236}">
                <a16:creationId xmlns:a16="http://schemas.microsoft.com/office/drawing/2014/main" id="{00000000-0008-0000-0000-00004C000000}"/>
              </a:ext>
            </a:extLst>
          </xdr:cNvPr>
          <xdr:cNvSpPr/>
        </xdr:nvSpPr>
        <xdr:spPr>
          <a:xfrm>
            <a:off x="246976" y="94087"/>
            <a:ext cx="1955260" cy="72958"/>
          </a:xfrm>
          <a:prstGeom prst="rect">
            <a:avLst/>
          </a:prstGeom>
          <a:solidFill>
            <a:srgbClr val="E98300"/>
          </a:solidFill>
          <a:ln w="12700" cap="flat" cmpd="sng" algn="ctr">
            <a:solidFill>
              <a:srgbClr val="000000"/>
            </a:solidFill>
            <a:prstDash val="solid"/>
            <a:miter lim="800000"/>
          </a:ln>
          <a:effectLst/>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77" name="Rectangle: Rounded Corners 76">
            <a:extLst>
              <a:ext uri="{FF2B5EF4-FFF2-40B4-BE49-F238E27FC236}">
                <a16:creationId xmlns:a16="http://schemas.microsoft.com/office/drawing/2014/main" id="{00000000-0008-0000-0000-00004D000000}"/>
              </a:ext>
            </a:extLst>
          </xdr:cNvPr>
          <xdr:cNvSpPr/>
        </xdr:nvSpPr>
        <xdr:spPr>
          <a:xfrm>
            <a:off x="344002" y="0"/>
            <a:ext cx="102140" cy="204281"/>
          </a:xfrm>
          <a:prstGeom prst="roundRect">
            <a:avLst/>
          </a:prstGeom>
          <a:solidFill>
            <a:srgbClr val="666666"/>
          </a:solidFill>
          <a:ln w="12700" cap="flat" cmpd="sng" algn="ctr">
            <a:solidFill>
              <a:srgbClr val="666666">
                <a:shade val="50000"/>
              </a:srgbClr>
            </a:solidFill>
            <a:prstDash val="solid"/>
            <a:miter lim="800000"/>
          </a:ln>
          <a:effectLst/>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78" name="Rectangle: Rounded Corners 77">
            <a:extLst>
              <a:ext uri="{FF2B5EF4-FFF2-40B4-BE49-F238E27FC236}">
                <a16:creationId xmlns:a16="http://schemas.microsoft.com/office/drawing/2014/main" id="{00000000-0008-0000-0000-00004E000000}"/>
              </a:ext>
            </a:extLst>
          </xdr:cNvPr>
          <xdr:cNvSpPr/>
        </xdr:nvSpPr>
        <xdr:spPr>
          <a:xfrm>
            <a:off x="1079051" y="8821"/>
            <a:ext cx="102140" cy="204281"/>
          </a:xfrm>
          <a:prstGeom prst="roundRect">
            <a:avLst/>
          </a:prstGeom>
          <a:solidFill>
            <a:srgbClr val="666666"/>
          </a:solidFill>
          <a:ln w="12700" cap="flat" cmpd="sng" algn="ctr">
            <a:solidFill>
              <a:srgbClr val="666666">
                <a:shade val="50000"/>
              </a:srgbClr>
            </a:solidFill>
            <a:prstDash val="solid"/>
            <a:miter lim="800000"/>
          </a:ln>
          <a:effectLst/>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sp macro="" textlink="">
        <xdr:nvSpPr>
          <xdr:cNvPr id="79" name="Rectangle: Rounded Corners 78">
            <a:extLst>
              <a:ext uri="{FF2B5EF4-FFF2-40B4-BE49-F238E27FC236}">
                <a16:creationId xmlns:a16="http://schemas.microsoft.com/office/drawing/2014/main" id="{00000000-0008-0000-0000-00004F000000}"/>
              </a:ext>
            </a:extLst>
          </xdr:cNvPr>
          <xdr:cNvSpPr/>
        </xdr:nvSpPr>
        <xdr:spPr>
          <a:xfrm>
            <a:off x="1784697" y="8821"/>
            <a:ext cx="102140" cy="204281"/>
          </a:xfrm>
          <a:prstGeom prst="roundRect">
            <a:avLst/>
          </a:prstGeom>
          <a:solidFill>
            <a:srgbClr val="666666"/>
          </a:solidFill>
          <a:ln w="12700" cap="flat" cmpd="sng" algn="ctr">
            <a:solidFill>
              <a:srgbClr val="666666">
                <a:shade val="50000"/>
              </a:srgbClr>
            </a:solidFill>
            <a:prstDash val="solid"/>
            <a:miter lim="800000"/>
          </a:ln>
          <a:effectLst/>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FFFFFF"/>
                </a:solidFill>
                <a:latin typeface="Arial"/>
              </a:defRPr>
            </a:lvl1pPr>
            <a:lvl2pPr marL="457200" algn="l" defTabSz="914400" rtl="0" eaLnBrk="1" latinLnBrk="0" hangingPunct="1">
              <a:defRPr sz="1800" kern="1200">
                <a:solidFill>
                  <a:srgbClr val="FFFFFF"/>
                </a:solidFill>
                <a:latin typeface="Arial"/>
              </a:defRPr>
            </a:lvl2pPr>
            <a:lvl3pPr marL="914400" algn="l" defTabSz="914400" rtl="0" eaLnBrk="1" latinLnBrk="0" hangingPunct="1">
              <a:defRPr sz="1800" kern="1200">
                <a:solidFill>
                  <a:srgbClr val="FFFFFF"/>
                </a:solidFill>
                <a:latin typeface="Arial"/>
              </a:defRPr>
            </a:lvl3pPr>
            <a:lvl4pPr marL="1371600" algn="l" defTabSz="914400" rtl="0" eaLnBrk="1" latinLnBrk="0" hangingPunct="1">
              <a:defRPr sz="1800" kern="1200">
                <a:solidFill>
                  <a:srgbClr val="FFFFFF"/>
                </a:solidFill>
                <a:latin typeface="Arial"/>
              </a:defRPr>
            </a:lvl4pPr>
            <a:lvl5pPr marL="1828800" algn="l" defTabSz="914400" rtl="0" eaLnBrk="1" latinLnBrk="0" hangingPunct="1">
              <a:defRPr sz="1800" kern="1200">
                <a:solidFill>
                  <a:srgbClr val="FFFFFF"/>
                </a:solidFill>
                <a:latin typeface="Arial"/>
              </a:defRPr>
            </a:lvl5pPr>
            <a:lvl6pPr marL="2286000" algn="l" defTabSz="914400" rtl="0" eaLnBrk="1" latinLnBrk="0" hangingPunct="1">
              <a:defRPr sz="1800" kern="1200">
                <a:solidFill>
                  <a:srgbClr val="FFFFFF"/>
                </a:solidFill>
                <a:latin typeface="Arial"/>
              </a:defRPr>
            </a:lvl6pPr>
            <a:lvl7pPr marL="2743200" algn="l" defTabSz="914400" rtl="0" eaLnBrk="1" latinLnBrk="0" hangingPunct="1">
              <a:defRPr sz="1800" kern="1200">
                <a:solidFill>
                  <a:srgbClr val="FFFFFF"/>
                </a:solidFill>
                <a:latin typeface="Arial"/>
              </a:defRPr>
            </a:lvl7pPr>
            <a:lvl8pPr marL="3200400" algn="l" defTabSz="914400" rtl="0" eaLnBrk="1" latinLnBrk="0" hangingPunct="1">
              <a:defRPr sz="1800" kern="1200">
                <a:solidFill>
                  <a:srgbClr val="FFFFFF"/>
                </a:solidFill>
                <a:latin typeface="Arial"/>
              </a:defRPr>
            </a:lvl8pPr>
            <a:lvl9pPr marL="3657600" algn="l" defTabSz="914400" rtl="0" eaLnBrk="1" latinLnBrk="0" hangingPunct="1">
              <a:defRPr sz="1800" kern="1200">
                <a:solidFill>
                  <a:srgbClr val="FFFFFF"/>
                </a:solidFill>
                <a:latin typeface="Arial"/>
              </a:defRPr>
            </a:lvl9pPr>
          </a:lstStyle>
          <a:p>
            <a:endParaRPr lang="en-AU"/>
          </a:p>
        </xdr:txBody>
      </xdr:sp>
      <xdr:cxnSp macro="">
        <xdr:nvCxnSpPr>
          <xdr:cNvPr id="80" name="Straight Connector 79">
            <a:extLst>
              <a:ext uri="{FF2B5EF4-FFF2-40B4-BE49-F238E27FC236}">
                <a16:creationId xmlns:a16="http://schemas.microsoft.com/office/drawing/2014/main" id="{00000000-0008-0000-0000-000050000000}"/>
              </a:ext>
            </a:extLst>
          </xdr:cNvPr>
          <xdr:cNvCxnSpPr/>
        </xdr:nvCxnSpPr>
        <xdr:spPr>
          <a:xfrm>
            <a:off x="1134914" y="255797"/>
            <a:ext cx="636" cy="149248"/>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402806" y="252857"/>
            <a:ext cx="636" cy="149248"/>
          </a:xfrm>
          <a:prstGeom prst="line">
            <a:avLst/>
          </a:prstGeom>
          <a:noFill/>
          <a:ln w="12700" cap="flat" cmpd="sng" algn="ctr">
            <a:solidFill>
              <a:srgbClr val="666666"/>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661407" y="348044"/>
            <a:ext cx="222885" cy="268605"/>
          </a:xfrm>
          <a:prstGeom prst="rect">
            <a:avLst/>
          </a:prstGeom>
          <a:no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spcAft>
                <a:spcPts val="0"/>
              </a:spcAft>
            </a:pPr>
            <a:r>
              <a:rPr lang="en-US" sz="1100" b="1">
                <a:solidFill>
                  <a:schemeClr val="bg2">
                    <a:lumMod val="50000"/>
                  </a:schemeClr>
                </a:solidFill>
                <a:effectLst/>
                <a:latin typeface="Arial" panose="020B0604020202020204" pitchFamily="34" charset="0"/>
                <a:ea typeface="Times New Roman" panose="02020603050405020304" pitchFamily="18" charset="0"/>
                <a:cs typeface="Arial" panose="020B0604020202020204" pitchFamily="34" charset="0"/>
              </a:rPr>
              <a:t>D</a:t>
            </a:r>
            <a:endParaRPr lang="en-AU" sz="1100" b="1">
              <a:solidFill>
                <a:schemeClr val="bg2">
                  <a:lumMod val="50000"/>
                </a:schemeClr>
              </a:solidFill>
              <a:effectLst/>
              <a:latin typeface="Arial" panose="020B0604020202020204" pitchFamily="34" charset="0"/>
              <a:ea typeface="Times New Roman" panose="02020603050405020304" pitchFamily="18" charset="0"/>
              <a:cs typeface="Arial" panose="020B0604020202020204" pitchFamily="34" charset="0"/>
            </a:endParaRPr>
          </a:p>
        </xdr:txBody>
      </xdr:sp>
      <xdr:cxnSp macro="">
        <xdr:nvCxnSpPr>
          <xdr:cNvPr id="83" name="Straight Arrow Connector 82">
            <a:extLst>
              <a:ext uri="{FF2B5EF4-FFF2-40B4-BE49-F238E27FC236}">
                <a16:creationId xmlns:a16="http://schemas.microsoft.com/office/drawing/2014/main" id="{00000000-0008-0000-0000-000053000000}"/>
              </a:ext>
            </a:extLst>
          </xdr:cNvPr>
          <xdr:cNvCxnSpPr/>
        </xdr:nvCxnSpPr>
        <xdr:spPr>
          <a:xfrm>
            <a:off x="402806" y="325888"/>
            <a:ext cx="732743" cy="0"/>
          </a:xfrm>
          <a:prstGeom prst="straightConnector1">
            <a:avLst/>
          </a:prstGeom>
          <a:noFill/>
          <a:ln w="12700" cap="flat" cmpd="sng" algn="ctr">
            <a:solidFill>
              <a:srgbClr val="666666"/>
            </a:solidFill>
            <a:prstDash val="solid"/>
            <a:miter lim="800000"/>
            <a:headEnd type="stealth"/>
            <a:tailEnd type="stealth"/>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922073</xdr:colOff>
      <xdr:row>33</xdr:row>
      <xdr:rowOff>164040</xdr:rowOff>
    </xdr:from>
    <xdr:to>
      <xdr:col>12</xdr:col>
      <xdr:colOff>355865</xdr:colOff>
      <xdr:row>37</xdr:row>
      <xdr:rowOff>129135</xdr:rowOff>
    </xdr:to>
    <mc:AlternateContent xmlns:mc="http://schemas.openxmlformats.org/markup-compatibility/2006" xmlns:a14="http://schemas.microsoft.com/office/drawing/2010/main">
      <mc:Choice Requires="a14">
        <xdr:sp macro="" textlink="">
          <xdr:nvSpPr>
            <xdr:cNvPr id="85" name="Rectangle 84">
              <a:extLst>
                <a:ext uri="{FF2B5EF4-FFF2-40B4-BE49-F238E27FC236}">
                  <a16:creationId xmlns:a16="http://schemas.microsoft.com/office/drawing/2014/main" id="{00000000-0008-0000-0000-000055000000}"/>
                </a:ext>
              </a:extLst>
            </xdr:cNvPr>
            <xdr:cNvSpPr/>
          </xdr:nvSpPr>
          <xdr:spPr>
            <a:xfrm>
              <a:off x="7282656" y="7403040"/>
              <a:ext cx="2301876" cy="684762"/>
            </a:xfrm>
            <a:prstGeom prst="rect">
              <a:avLst/>
            </a:prstGeom>
            <a:noFill/>
          </xdr:spPr>
          <xdr:txBody>
            <a:bodyPr wrap="square">
              <a:sp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14:m>
                <m:oMathPara xmlns:m="http://schemas.openxmlformats.org/officeDocument/2006/math">
                  <m:oMathParaPr>
                    <m:jc m:val="centerGroup"/>
                  </m:oMathParaPr>
                  <m:oMath xmlns:m="http://schemas.openxmlformats.org/officeDocument/2006/math">
                    <m:sSub>
                      <m:sSubPr>
                        <m:ctrlPr>
                          <a:rPr lang="en-US" b="1" i="1">
                            <a:solidFill>
                              <a:schemeClr val="bg2">
                                <a:lumMod val="50000"/>
                              </a:schemeClr>
                            </a:solidFill>
                            <a:latin typeface="Cambria Math" panose="02040503050406030204" pitchFamily="18" charset="0"/>
                          </a:rPr>
                        </m:ctrlPr>
                      </m:sSubPr>
                      <m:e>
                        <m:r>
                          <a:rPr lang="en-US" b="1" i="1">
                            <a:solidFill>
                              <a:schemeClr val="bg2">
                                <a:lumMod val="50000"/>
                              </a:schemeClr>
                            </a:solidFill>
                            <a:latin typeface="Cambria Math" panose="02040503050406030204" pitchFamily="18" charset="0"/>
                          </a:rPr>
                          <m:t>𝑭</m:t>
                        </m:r>
                      </m:e>
                      <m:sub>
                        <m:r>
                          <a:rPr lang="en-US" b="1" i="1">
                            <a:solidFill>
                              <a:schemeClr val="bg2">
                                <a:lumMod val="50000"/>
                              </a:schemeClr>
                            </a:solidFill>
                            <a:latin typeface="Cambria Math" panose="02040503050406030204" pitchFamily="18" charset="0"/>
                          </a:rPr>
                          <m:t>𝒕</m:t>
                        </m:r>
                      </m:sub>
                    </m:sSub>
                    <m:r>
                      <a:rPr lang="en-US" b="1" i="0">
                        <a:solidFill>
                          <a:schemeClr val="bg2">
                            <a:lumMod val="50000"/>
                          </a:schemeClr>
                        </a:solidFill>
                        <a:latin typeface="Cambria Math" panose="02040503050406030204" pitchFamily="18" charset="0"/>
                      </a:rPr>
                      <m:t>=</m:t>
                    </m:r>
                    <m:f>
                      <m:fPr>
                        <m:ctrlPr>
                          <a:rPr lang="en-US" b="1" i="1">
                            <a:solidFill>
                              <a:schemeClr val="bg2">
                                <a:lumMod val="50000"/>
                              </a:schemeClr>
                            </a:solidFill>
                            <a:latin typeface="Cambria Math" panose="02040503050406030204" pitchFamily="18" charset="0"/>
                          </a:rPr>
                        </m:ctrlPr>
                      </m:fPr>
                      <m:num>
                        <m:r>
                          <a:rPr lang="en-US" b="1" i="0">
                            <a:solidFill>
                              <a:schemeClr val="bg2">
                                <a:lumMod val="50000"/>
                              </a:schemeClr>
                            </a:solidFill>
                            <a:latin typeface="Cambria Math" panose="02040503050406030204" pitchFamily="18" charset="0"/>
                          </a:rPr>
                          <m:t>𝟎</m:t>
                        </m:r>
                        <m:r>
                          <a:rPr lang="de-DE" b="1" i="0">
                            <a:solidFill>
                              <a:schemeClr val="bg2">
                                <a:lumMod val="50000"/>
                              </a:schemeClr>
                            </a:solidFill>
                            <a:latin typeface="Cambria Math" panose="02040503050406030204" pitchFamily="18" charset="0"/>
                          </a:rPr>
                          <m:t>.</m:t>
                        </m:r>
                        <m:r>
                          <a:rPr lang="en-US" b="1" i="0">
                            <a:solidFill>
                              <a:schemeClr val="bg2">
                                <a:lumMod val="50000"/>
                              </a:schemeClr>
                            </a:solidFill>
                            <a:latin typeface="Cambria Math" panose="02040503050406030204" pitchFamily="18" charset="0"/>
                          </a:rPr>
                          <m:t>𝟏𝟕</m:t>
                        </m:r>
                        <m:r>
                          <a:rPr lang="en-US" b="1" i="0">
                            <a:solidFill>
                              <a:schemeClr val="bg2">
                                <a:lumMod val="50000"/>
                              </a:schemeClr>
                            </a:solidFill>
                            <a:latin typeface="Cambria Math" panose="02040503050406030204" pitchFamily="18" charset="0"/>
                          </a:rPr>
                          <m:t> ∙</m:t>
                        </m:r>
                        <m:sSup>
                          <m:sSupPr>
                            <m:ctrlPr>
                              <a:rPr lang="en-US" b="1" i="1">
                                <a:solidFill>
                                  <a:schemeClr val="bg2">
                                    <a:lumMod val="50000"/>
                                  </a:schemeClr>
                                </a:solidFill>
                                <a:latin typeface="Cambria Math" panose="02040503050406030204" pitchFamily="18" charset="0"/>
                              </a:rPr>
                            </m:ctrlPr>
                          </m:sSupPr>
                          <m:e>
                            <m:sSub>
                              <m:sSubPr>
                                <m:ctrlPr>
                                  <a:rPr lang="en-US" b="1" i="1">
                                    <a:solidFill>
                                      <a:schemeClr val="bg2">
                                        <a:lumMod val="50000"/>
                                      </a:schemeClr>
                                    </a:solidFill>
                                    <a:latin typeface="Cambria Math" panose="02040503050406030204" pitchFamily="18" charset="0"/>
                                  </a:rPr>
                                </m:ctrlPr>
                              </m:sSubPr>
                              <m:e>
                                <m:r>
                                  <a:rPr lang="en-US" b="1" i="1">
                                    <a:solidFill>
                                      <a:schemeClr val="bg2">
                                        <a:lumMod val="50000"/>
                                      </a:schemeClr>
                                    </a:solidFill>
                                    <a:latin typeface="Cambria Math" panose="02040503050406030204" pitchFamily="18" charset="0"/>
                                  </a:rPr>
                                  <m:t>𝒊</m:t>
                                </m:r>
                              </m:e>
                              <m:sub>
                                <m:r>
                                  <a:rPr lang="en-US" b="1" i="1">
                                    <a:solidFill>
                                      <a:schemeClr val="bg2">
                                        <a:lumMod val="50000"/>
                                      </a:schemeClr>
                                    </a:solidFill>
                                    <a:latin typeface="Cambria Math" panose="02040503050406030204" pitchFamily="18" charset="0"/>
                                  </a:rPr>
                                  <m:t>𝒑</m:t>
                                </m:r>
                              </m:sub>
                            </m:sSub>
                          </m:e>
                          <m:sup>
                            <m:r>
                              <a:rPr lang="en-US" b="1" i="0">
                                <a:solidFill>
                                  <a:schemeClr val="bg2">
                                    <a:lumMod val="50000"/>
                                  </a:schemeClr>
                                </a:solidFill>
                                <a:latin typeface="Cambria Math" panose="02040503050406030204" pitchFamily="18" charset="0"/>
                              </a:rPr>
                              <m:t>𝟐</m:t>
                            </m:r>
                          </m:sup>
                        </m:sSup>
                      </m:num>
                      <m:den>
                        <m:r>
                          <a:rPr lang="en-US" b="1" i="1">
                            <a:solidFill>
                              <a:schemeClr val="bg2">
                                <a:lumMod val="50000"/>
                              </a:schemeClr>
                            </a:solidFill>
                            <a:latin typeface="Cambria Math" panose="02040503050406030204" pitchFamily="18" charset="0"/>
                          </a:rPr>
                          <m:t>𝑺</m:t>
                        </m:r>
                      </m:den>
                    </m:f>
                  </m:oMath>
                </m:oMathPara>
              </a14:m>
              <a:endParaRPr lang="en-US" b="1">
                <a:solidFill>
                  <a:schemeClr val="bg2">
                    <a:lumMod val="50000"/>
                  </a:schemeClr>
                </a:solidFill>
                <a:latin typeface="Arial" panose="020B0604020202020204" pitchFamily="34" charset="0"/>
              </a:endParaRPr>
            </a:p>
          </xdr:txBody>
        </xdr:sp>
      </mc:Choice>
      <mc:Fallback xmlns="">
        <xdr:sp macro="" textlink="">
          <xdr:nvSpPr>
            <xdr:cNvPr id="85" name="Rectangle 84">
              <a:extLst>
                <a:ext uri="{FF2B5EF4-FFF2-40B4-BE49-F238E27FC236}">
                  <a16:creationId xmlns:a16="http://schemas.microsoft.com/office/drawing/2014/main" id="{D45ADA39-2607-493B-9414-9971BF03A299}"/>
                </a:ext>
              </a:extLst>
            </xdr:cNvPr>
            <xdr:cNvSpPr/>
          </xdr:nvSpPr>
          <xdr:spPr>
            <a:xfrm>
              <a:off x="7282656" y="7403040"/>
              <a:ext cx="2301876" cy="684762"/>
            </a:xfrm>
            <a:prstGeom prst="rect">
              <a:avLst/>
            </a:prstGeom>
            <a:noFill/>
          </xdr:spPr>
          <xdr:txBody>
            <a:bodyPr wrap="square">
              <a:spAutoFit/>
            </a:bodyPr>
            <a:lstStyle>
              <a:defPPr>
                <a:defRPr lang="en-US"/>
              </a:defPPr>
              <a:lvl1pPr marL="0" algn="l" defTabSz="914400" rtl="0" eaLnBrk="1" latinLnBrk="0" hangingPunct="1">
                <a:defRPr sz="1800" kern="1200">
                  <a:solidFill>
                    <a:srgbClr val="666666"/>
                  </a:solidFill>
                  <a:latin typeface="Arial"/>
                </a:defRPr>
              </a:lvl1pPr>
              <a:lvl2pPr marL="457200" algn="l" defTabSz="914400" rtl="0" eaLnBrk="1" latinLnBrk="0" hangingPunct="1">
                <a:defRPr sz="1800" kern="1200">
                  <a:solidFill>
                    <a:srgbClr val="666666"/>
                  </a:solidFill>
                  <a:latin typeface="Arial"/>
                </a:defRPr>
              </a:lvl2pPr>
              <a:lvl3pPr marL="914400" algn="l" defTabSz="914400" rtl="0" eaLnBrk="1" latinLnBrk="0" hangingPunct="1">
                <a:defRPr sz="1800" kern="1200">
                  <a:solidFill>
                    <a:srgbClr val="666666"/>
                  </a:solidFill>
                  <a:latin typeface="Arial"/>
                </a:defRPr>
              </a:lvl3pPr>
              <a:lvl4pPr marL="1371600" algn="l" defTabSz="914400" rtl="0" eaLnBrk="1" latinLnBrk="0" hangingPunct="1">
                <a:defRPr sz="1800" kern="1200">
                  <a:solidFill>
                    <a:srgbClr val="666666"/>
                  </a:solidFill>
                  <a:latin typeface="Arial"/>
                </a:defRPr>
              </a:lvl4pPr>
              <a:lvl5pPr marL="1828800" algn="l" defTabSz="914400" rtl="0" eaLnBrk="1" latinLnBrk="0" hangingPunct="1">
                <a:defRPr sz="1800" kern="1200">
                  <a:solidFill>
                    <a:srgbClr val="666666"/>
                  </a:solidFill>
                  <a:latin typeface="Arial"/>
                </a:defRPr>
              </a:lvl5pPr>
              <a:lvl6pPr marL="2286000" algn="l" defTabSz="914400" rtl="0" eaLnBrk="1" latinLnBrk="0" hangingPunct="1">
                <a:defRPr sz="1800" kern="1200">
                  <a:solidFill>
                    <a:srgbClr val="666666"/>
                  </a:solidFill>
                  <a:latin typeface="Arial"/>
                </a:defRPr>
              </a:lvl6pPr>
              <a:lvl7pPr marL="2743200" algn="l" defTabSz="914400" rtl="0" eaLnBrk="1" latinLnBrk="0" hangingPunct="1">
                <a:defRPr sz="1800" kern="1200">
                  <a:solidFill>
                    <a:srgbClr val="666666"/>
                  </a:solidFill>
                  <a:latin typeface="Arial"/>
                </a:defRPr>
              </a:lvl7pPr>
              <a:lvl8pPr marL="3200400" algn="l" defTabSz="914400" rtl="0" eaLnBrk="1" latinLnBrk="0" hangingPunct="1">
                <a:defRPr sz="1800" kern="1200">
                  <a:solidFill>
                    <a:srgbClr val="666666"/>
                  </a:solidFill>
                  <a:latin typeface="Arial"/>
                </a:defRPr>
              </a:lvl8pPr>
              <a:lvl9pPr marL="3657600" algn="l" defTabSz="914400" rtl="0" eaLnBrk="1" latinLnBrk="0" hangingPunct="1">
                <a:defRPr sz="1800" kern="1200">
                  <a:solidFill>
                    <a:srgbClr val="666666"/>
                  </a:solidFill>
                  <a:latin typeface="Arial"/>
                </a:defRPr>
              </a:lvl9pPr>
            </a:lstStyle>
            <a:p>
              <a:pPr/>
              <a:r>
                <a:rPr lang="en-US" b="1" i="0">
                  <a:solidFill>
                    <a:schemeClr val="bg2">
                      <a:lumMod val="50000"/>
                    </a:schemeClr>
                  </a:solidFill>
                  <a:latin typeface="Cambria Math" panose="02040503050406030204" pitchFamily="18" charset="0"/>
                </a:rPr>
                <a:t>𝑭_𝒕=(𝟎</a:t>
              </a:r>
              <a:r>
                <a:rPr lang="de-DE" b="1" i="0">
                  <a:solidFill>
                    <a:schemeClr val="bg2">
                      <a:lumMod val="50000"/>
                    </a:schemeClr>
                  </a:solidFill>
                  <a:latin typeface="Cambria Math" panose="02040503050406030204" pitchFamily="18" charset="0"/>
                </a:rPr>
                <a:t>.</a:t>
              </a:r>
              <a:r>
                <a:rPr lang="en-US" b="1" i="0">
                  <a:solidFill>
                    <a:schemeClr val="bg2">
                      <a:lumMod val="50000"/>
                    </a:schemeClr>
                  </a:solidFill>
                  <a:latin typeface="Cambria Math" panose="02040503050406030204" pitchFamily="18" charset="0"/>
                </a:rPr>
                <a:t>𝟏𝟕 ∙〖𝒊_𝒑〗^𝟐)/𝑺</a:t>
              </a:r>
              <a:endParaRPr lang="en-US" b="1">
                <a:solidFill>
                  <a:schemeClr val="bg2">
                    <a:lumMod val="50000"/>
                  </a:schemeClr>
                </a:solidFill>
                <a:latin typeface="Arial" panose="020B0604020202020204" pitchFamily="34" charset="0"/>
              </a:endParaRPr>
            </a:p>
          </xdr:txBody>
        </xdr:sp>
      </mc:Fallback>
    </mc:AlternateContent>
    <xdr:clientData/>
  </xdr:twoCellAnchor>
  <xdr:twoCellAnchor editAs="oneCell">
    <xdr:from>
      <xdr:col>6</xdr:col>
      <xdr:colOff>402166</xdr:colOff>
      <xdr:row>1</xdr:row>
      <xdr:rowOff>31749</xdr:rowOff>
    </xdr:from>
    <xdr:to>
      <xdr:col>7</xdr:col>
      <xdr:colOff>1841501</xdr:colOff>
      <xdr:row>4</xdr:row>
      <xdr:rowOff>10584</xdr:rowOff>
    </xdr:to>
    <xdr:pic>
      <xdr:nvPicPr>
        <xdr:cNvPr id="3" name="Picture 2">
          <a:extLst>
            <a:ext uri="{FF2B5EF4-FFF2-40B4-BE49-F238E27FC236}">
              <a16:creationId xmlns:a16="http://schemas.microsoft.com/office/drawing/2014/main" id="{38544856-C352-4D6E-BBE2-0D53FEF860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3368" b="10653"/>
        <a:stretch/>
      </xdr:blipFill>
      <xdr:spPr>
        <a:xfrm>
          <a:off x="3026833" y="179916"/>
          <a:ext cx="2053168" cy="1016001"/>
        </a:xfrm>
        <a:prstGeom prst="rect">
          <a:avLst/>
        </a:prstGeom>
      </xdr:spPr>
    </xdr:pic>
    <xdr:clientData/>
  </xdr:twoCellAnchor>
  <xdr:twoCellAnchor editAs="oneCell">
    <xdr:from>
      <xdr:col>2</xdr:col>
      <xdr:colOff>412751</xdr:colOff>
      <xdr:row>13</xdr:row>
      <xdr:rowOff>47626</xdr:rowOff>
    </xdr:from>
    <xdr:to>
      <xdr:col>10</xdr:col>
      <xdr:colOff>992188</xdr:colOff>
      <xdr:row>25</xdr:row>
      <xdr:rowOff>154100</xdr:rowOff>
    </xdr:to>
    <xdr:pic>
      <xdr:nvPicPr>
        <xdr:cNvPr id="2" name="Picture 1">
          <a:extLst>
            <a:ext uri="{FF2B5EF4-FFF2-40B4-BE49-F238E27FC236}">
              <a16:creationId xmlns:a16="http://schemas.microsoft.com/office/drawing/2014/main" id="{038C37B3-2336-4729-9AE4-D70A7689F0F6}"/>
            </a:ext>
          </a:extLst>
        </xdr:cNvPr>
        <xdr:cNvPicPr>
          <a:picLocks noChangeAspect="1"/>
        </xdr:cNvPicPr>
      </xdr:nvPicPr>
      <xdr:blipFill>
        <a:blip xmlns:r="http://schemas.openxmlformats.org/officeDocument/2006/relationships" r:embed="rId3"/>
        <a:stretch>
          <a:fillRect/>
        </a:stretch>
      </xdr:blipFill>
      <xdr:spPr>
        <a:xfrm>
          <a:off x="928689" y="3079751"/>
          <a:ext cx="7516812" cy="220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5250-CBD1-44BB-9640-93237C8919C4}">
  <dimension ref="A1:W52"/>
  <sheetViews>
    <sheetView showGridLines="0" showRowColHeaders="0" tabSelected="1" zoomScaleNormal="100" workbookViewId="0">
      <selection activeCell="J8" sqref="J8:K8"/>
    </sheetView>
  </sheetViews>
  <sheetFormatPr defaultColWidth="9.140625" defaultRowHeight="14.25" x14ac:dyDescent="0.2"/>
  <cols>
    <col min="1" max="1" width="4.140625" style="3" customWidth="1"/>
    <col min="2" max="2" width="3.140625" style="2" customWidth="1"/>
    <col min="3" max="3" width="9.140625" style="3"/>
    <col min="4" max="5" width="6.85546875" style="3" customWidth="1"/>
    <col min="6" max="7" width="9.140625" style="3"/>
    <col min="8" max="8" width="34.5703125" style="3" customWidth="1"/>
    <col min="9" max="9" width="8.5703125" style="3" customWidth="1"/>
    <col min="10" max="10" width="15" style="11" customWidth="1"/>
    <col min="11" max="11" width="19.5703125" style="11" customWidth="1"/>
    <col min="12" max="12" width="8.42578125" style="3" customWidth="1"/>
    <col min="13" max="13" width="9.5703125" style="3" customWidth="1"/>
    <col min="14" max="15" width="9.140625" style="3"/>
    <col min="16" max="16" width="12" style="3" bestFit="1" customWidth="1"/>
    <col min="17" max="18" width="9.140625" style="3"/>
    <col min="19" max="19" width="13.28515625" style="3" customWidth="1"/>
    <col min="20" max="20" width="9.140625" style="3" customWidth="1"/>
    <col min="21" max="21" width="11.28515625" style="3" customWidth="1"/>
    <col min="22" max="22" width="9.140625" style="3"/>
    <col min="23" max="23" width="6" style="3" customWidth="1"/>
    <col min="24" max="16384" width="9.140625" style="3"/>
  </cols>
  <sheetData>
    <row r="1" spans="2:23" ht="11.25" customHeight="1" x14ac:dyDescent="0.2">
      <c r="B1" s="4"/>
      <c r="C1" s="5"/>
      <c r="D1" s="5"/>
      <c r="E1" s="5"/>
      <c r="F1" s="5"/>
      <c r="G1" s="5"/>
      <c r="H1" s="5"/>
      <c r="I1" s="5"/>
      <c r="J1" s="5"/>
      <c r="K1" s="5"/>
      <c r="L1" s="5"/>
      <c r="M1" s="5"/>
      <c r="N1" s="5"/>
      <c r="O1" s="5"/>
      <c r="P1" s="5"/>
      <c r="Q1" s="5"/>
      <c r="R1" s="5"/>
      <c r="S1" s="5"/>
      <c r="T1" s="5"/>
      <c r="U1" s="5"/>
      <c r="V1" s="5"/>
      <c r="W1" s="5"/>
    </row>
    <row r="2" spans="2:23" ht="58.5" customHeight="1" x14ac:dyDescent="0.35">
      <c r="B2" s="4"/>
      <c r="C2" s="43">
        <f>+IFERROR(VLOOKUP(3,Sheet1!$P$2:$R$97,3,0),"Error")</f>
        <v>17340</v>
      </c>
      <c r="D2" s="28">
        <f>C2/J33</f>
        <v>0.796875</v>
      </c>
      <c r="E2" s="5"/>
      <c r="F2" s="26"/>
      <c r="G2" s="38"/>
      <c r="H2" s="37"/>
      <c r="I2" s="62" t="s">
        <v>226</v>
      </c>
      <c r="J2" s="62"/>
      <c r="K2" s="62"/>
      <c r="L2" s="63"/>
      <c r="M2" s="32"/>
      <c r="N2" s="32"/>
      <c r="O2" s="32"/>
      <c r="S2" s="1"/>
      <c r="T2" s="1"/>
      <c r="U2" s="1"/>
      <c r="V2" s="1"/>
      <c r="W2" s="5"/>
    </row>
    <row r="3" spans="2:23" ht="15.75" customHeight="1" x14ac:dyDescent="0.2">
      <c r="B3" s="4"/>
      <c r="C3" s="5"/>
      <c r="D3" s="17"/>
      <c r="E3" s="5"/>
      <c r="F3" s="17"/>
      <c r="G3" s="39"/>
      <c r="H3" s="31"/>
      <c r="I3" s="64" t="s">
        <v>242</v>
      </c>
      <c r="J3" s="64"/>
      <c r="K3" s="64"/>
      <c r="L3" s="65"/>
      <c r="M3" s="30"/>
      <c r="N3" s="30"/>
      <c r="O3" s="30"/>
      <c r="S3" s="1"/>
      <c r="V3" s="1"/>
      <c r="W3" s="5"/>
    </row>
    <row r="4" spans="2:23" ht="7.5" customHeight="1" x14ac:dyDescent="0.2">
      <c r="B4" s="4"/>
      <c r="C4" s="5"/>
      <c r="D4" s="17"/>
      <c r="E4" s="16"/>
      <c r="F4" s="16"/>
      <c r="G4" s="27"/>
      <c r="H4" s="16"/>
      <c r="I4" s="17"/>
      <c r="J4" s="1"/>
      <c r="K4" s="1"/>
      <c r="L4" s="34"/>
      <c r="M4" s="1"/>
      <c r="N4" s="1"/>
      <c r="O4" s="1"/>
      <c r="S4" s="1"/>
      <c r="T4" s="5"/>
      <c r="U4" s="5"/>
      <c r="V4" s="1"/>
      <c r="W4" s="5"/>
    </row>
    <row r="5" spans="2:23" ht="20.25" customHeight="1" x14ac:dyDescent="0.2">
      <c r="B5" s="4"/>
      <c r="C5" s="12"/>
      <c r="D5" s="12"/>
      <c r="E5" s="12"/>
      <c r="F5" s="12"/>
      <c r="G5" s="80" t="s">
        <v>231</v>
      </c>
      <c r="H5" s="81"/>
      <c r="I5" s="81"/>
      <c r="J5" s="81"/>
      <c r="K5" s="81"/>
      <c r="L5" s="82"/>
      <c r="M5" s="36"/>
      <c r="N5" s="36"/>
      <c r="O5" s="36"/>
      <c r="S5" s="1"/>
      <c r="T5" s="1"/>
      <c r="U5" s="1"/>
      <c r="V5" s="1"/>
      <c r="W5" s="1"/>
    </row>
    <row r="6" spans="2:23" s="8" customFormat="1" ht="23.25" x14ac:dyDescent="0.35">
      <c r="B6" s="35"/>
      <c r="C6" s="7"/>
      <c r="D6" s="7"/>
      <c r="E6" s="7"/>
      <c r="F6" s="7"/>
      <c r="G6" s="7"/>
      <c r="H6" s="7"/>
      <c r="I6" s="7"/>
      <c r="J6" s="7"/>
      <c r="K6" s="7"/>
      <c r="L6" s="7"/>
      <c r="M6" s="6"/>
      <c r="N6" s="6"/>
      <c r="O6" s="6"/>
      <c r="P6" s="6"/>
      <c r="Q6" s="6"/>
      <c r="R6" s="6"/>
      <c r="S6" s="6"/>
      <c r="T6" s="6"/>
      <c r="U6" s="6"/>
      <c r="V6" s="6"/>
      <c r="W6" s="6"/>
    </row>
    <row r="7" spans="2:23" s="8" customFormat="1" ht="20.100000000000001" customHeight="1" x14ac:dyDescent="0.2">
      <c r="B7" s="35"/>
      <c r="C7" s="73" t="s">
        <v>227</v>
      </c>
      <c r="D7" s="74"/>
      <c r="E7" s="74"/>
      <c r="F7" s="74"/>
      <c r="G7" s="74"/>
      <c r="H7" s="74"/>
      <c r="I7" s="74"/>
      <c r="J7" s="74"/>
      <c r="K7" s="74"/>
      <c r="L7" s="75"/>
      <c r="M7" s="9"/>
      <c r="W7" s="9"/>
    </row>
    <row r="8" spans="2:23" s="8" customFormat="1" ht="15" x14ac:dyDescent="0.2">
      <c r="B8" s="7"/>
      <c r="C8" s="69" t="s">
        <v>236</v>
      </c>
      <c r="D8" s="70"/>
      <c r="E8" s="70"/>
      <c r="F8" s="70"/>
      <c r="G8" s="70"/>
      <c r="H8" s="70"/>
      <c r="I8" s="70"/>
      <c r="J8" s="66">
        <v>43</v>
      </c>
      <c r="K8" s="66"/>
      <c r="L8" s="23" t="s">
        <v>2</v>
      </c>
      <c r="M8" s="7"/>
      <c r="W8" s="7"/>
    </row>
    <row r="9" spans="2:23" s="8" customFormat="1" ht="15" x14ac:dyDescent="0.2">
      <c r="B9" s="7"/>
      <c r="C9" s="69" t="s">
        <v>229</v>
      </c>
      <c r="D9" s="70"/>
      <c r="E9" s="70"/>
      <c r="F9" s="70"/>
      <c r="G9" s="70"/>
      <c r="H9" s="70"/>
      <c r="I9" s="70"/>
      <c r="J9" s="67" t="s">
        <v>201</v>
      </c>
      <c r="K9" s="67"/>
      <c r="L9" s="19"/>
      <c r="M9" s="7"/>
      <c r="W9" s="7"/>
    </row>
    <row r="10" spans="2:23" s="8" customFormat="1" ht="15" x14ac:dyDescent="0.2">
      <c r="B10" s="7"/>
      <c r="C10" s="69" t="s">
        <v>230</v>
      </c>
      <c r="D10" s="70"/>
      <c r="E10" s="70"/>
      <c r="F10" s="70"/>
      <c r="G10" s="70"/>
      <c r="H10" s="70"/>
      <c r="I10" s="70"/>
      <c r="J10" s="66" t="s">
        <v>208</v>
      </c>
      <c r="K10" s="66"/>
      <c r="L10" s="23"/>
      <c r="M10" s="7"/>
      <c r="W10" s="7"/>
    </row>
    <row r="11" spans="2:23" s="8" customFormat="1" ht="15" x14ac:dyDescent="0.2">
      <c r="B11" s="7"/>
      <c r="C11" s="69" t="s">
        <v>250</v>
      </c>
      <c r="D11" s="70"/>
      <c r="E11" s="70"/>
      <c r="F11" s="70"/>
      <c r="G11" s="70"/>
      <c r="H11" s="70"/>
      <c r="I11" s="70"/>
      <c r="J11" s="66" t="s">
        <v>251</v>
      </c>
      <c r="K11" s="66"/>
      <c r="L11" s="23"/>
      <c r="M11" s="7"/>
      <c r="W11" s="7"/>
    </row>
    <row r="12" spans="2:23" s="8" customFormat="1" ht="15" x14ac:dyDescent="0.2">
      <c r="B12" s="7"/>
      <c r="C12" s="71" t="s">
        <v>228</v>
      </c>
      <c r="D12" s="72"/>
      <c r="E12" s="72"/>
      <c r="F12" s="72"/>
      <c r="G12" s="72"/>
      <c r="H12" s="72"/>
      <c r="I12" s="72"/>
      <c r="J12" s="68" t="str">
        <f>+IFERROR(IF(MAX(Sheet1!$P$2:$P$97)&lt;3,"O.D. out of range",VLOOKUP(4,Sheet1!$N$2:$O$97,2,0)),"No matches found")</f>
        <v>CC38-50-SN</v>
      </c>
      <c r="K12" s="68"/>
      <c r="L12" s="19"/>
      <c r="M12" s="7"/>
      <c r="W12" s="7"/>
    </row>
    <row r="13" spans="2:23" s="8" customFormat="1" ht="15" x14ac:dyDescent="0.2">
      <c r="B13" s="7"/>
      <c r="C13" s="20"/>
      <c r="D13" s="21"/>
      <c r="E13" s="21"/>
      <c r="F13" s="21"/>
      <c r="G13" s="21"/>
      <c r="H13" s="21"/>
      <c r="I13" s="21"/>
      <c r="J13" s="86" t="str">
        <f>+IFERROR(VLOOKUP(J12,Sheet1!$B$2:$C$97,2,0),"Contact your TE Sales rep.")</f>
        <v>ER0012-000</v>
      </c>
      <c r="K13" s="86"/>
      <c r="L13" s="22"/>
      <c r="M13" s="7"/>
      <c r="W13" s="7"/>
    </row>
    <row r="14" spans="2:23" s="8" customFormat="1" x14ac:dyDescent="0.2">
      <c r="B14" s="7"/>
      <c r="C14" s="7"/>
      <c r="D14" s="7"/>
      <c r="E14" s="7"/>
      <c r="F14" s="7"/>
      <c r="G14" s="7"/>
      <c r="H14" s="7"/>
      <c r="I14" s="7"/>
      <c r="J14" s="7"/>
      <c r="K14" s="7"/>
      <c r="L14" s="7"/>
      <c r="M14" s="7"/>
      <c r="N14" s="7"/>
      <c r="O14" s="7"/>
      <c r="P14" s="7"/>
      <c r="Q14" s="7"/>
      <c r="R14" s="7"/>
      <c r="S14" s="7"/>
      <c r="T14" s="7"/>
      <c r="U14" s="7"/>
      <c r="V14" s="7"/>
      <c r="W14" s="7"/>
    </row>
    <row r="15" spans="2:23" s="8" customFormat="1" x14ac:dyDescent="0.2">
      <c r="B15" s="7"/>
      <c r="C15" s="7"/>
      <c r="D15" s="7"/>
      <c r="E15" s="7"/>
      <c r="F15" s="7"/>
      <c r="G15" s="7"/>
      <c r="H15" s="7"/>
      <c r="I15" s="7"/>
      <c r="J15" s="7"/>
      <c r="K15" s="7"/>
      <c r="L15" s="7"/>
      <c r="M15" s="7"/>
      <c r="N15" s="7"/>
      <c r="O15" s="7"/>
      <c r="P15" s="7"/>
      <c r="Q15" s="7"/>
      <c r="R15" s="7"/>
      <c r="S15" s="7"/>
      <c r="T15" s="7"/>
      <c r="U15" s="7"/>
      <c r="V15" s="7"/>
      <c r="W15" s="7"/>
    </row>
    <row r="16" spans="2:23" s="8" customFormat="1" x14ac:dyDescent="0.2">
      <c r="B16" s="7"/>
      <c r="C16" s="7"/>
      <c r="D16" s="7"/>
      <c r="E16" s="7"/>
      <c r="F16" s="7"/>
      <c r="G16" s="7"/>
      <c r="H16" s="7"/>
      <c r="I16" s="7"/>
      <c r="J16" s="7"/>
      <c r="K16" s="7"/>
      <c r="L16" s="7"/>
      <c r="M16" s="7"/>
      <c r="N16" s="7"/>
      <c r="O16" s="7"/>
      <c r="P16" s="7"/>
      <c r="Q16" s="7"/>
      <c r="R16" s="7"/>
      <c r="S16" s="7"/>
      <c r="T16" s="7"/>
      <c r="U16" s="7"/>
      <c r="V16" s="7"/>
      <c r="W16" s="7"/>
    </row>
    <row r="17" spans="2:23" s="8" customFormat="1" x14ac:dyDescent="0.2">
      <c r="B17" s="7"/>
      <c r="C17" s="7"/>
      <c r="D17" s="7"/>
      <c r="E17" s="7"/>
      <c r="F17" s="7"/>
      <c r="G17" s="7"/>
      <c r="H17" s="7"/>
      <c r="I17" s="7"/>
      <c r="J17" s="7"/>
      <c r="K17" s="7"/>
      <c r="L17" s="7"/>
      <c r="M17" s="7"/>
      <c r="N17" s="7"/>
      <c r="O17" s="7"/>
      <c r="P17" s="7"/>
      <c r="Q17" s="7"/>
      <c r="R17" s="7"/>
      <c r="S17" s="7"/>
      <c r="T17" s="7"/>
      <c r="U17" s="7"/>
      <c r="V17" s="7"/>
      <c r="W17" s="7"/>
    </row>
    <row r="18" spans="2:23" s="8" customFormat="1" x14ac:dyDescent="0.2">
      <c r="B18" s="7"/>
      <c r="C18" s="7"/>
      <c r="D18" s="7"/>
      <c r="E18" s="7"/>
      <c r="F18" s="7"/>
      <c r="G18" s="7"/>
      <c r="H18" s="7"/>
      <c r="I18" s="7"/>
      <c r="J18" s="7"/>
      <c r="K18" s="7"/>
      <c r="L18" s="7"/>
      <c r="M18" s="7"/>
      <c r="N18" s="7"/>
      <c r="O18" s="7"/>
      <c r="P18" s="7"/>
      <c r="Q18" s="7"/>
      <c r="R18" s="7"/>
      <c r="S18" s="7"/>
      <c r="T18" s="7"/>
      <c r="U18" s="7"/>
      <c r="V18" s="7"/>
      <c r="W18" s="7"/>
    </row>
    <row r="19" spans="2:23" s="8" customFormat="1" x14ac:dyDescent="0.2">
      <c r="B19" s="7"/>
      <c r="C19" s="7"/>
      <c r="D19" s="7"/>
      <c r="E19" s="7"/>
      <c r="F19" s="7"/>
      <c r="G19" s="7"/>
      <c r="H19" s="7"/>
      <c r="I19" s="7"/>
      <c r="J19" s="7"/>
      <c r="K19" s="7"/>
      <c r="L19" s="7"/>
      <c r="M19" s="7"/>
      <c r="N19" s="7"/>
      <c r="O19" s="7"/>
      <c r="P19" s="7"/>
      <c r="Q19" s="7"/>
      <c r="R19" s="7"/>
      <c r="S19" s="7"/>
      <c r="T19" s="7"/>
      <c r="U19" s="7"/>
      <c r="V19" s="7"/>
      <c r="W19" s="7"/>
    </row>
    <row r="20" spans="2:23" s="8" customFormat="1" x14ac:dyDescent="0.2">
      <c r="B20" s="7"/>
      <c r="C20" s="7"/>
      <c r="D20" s="7"/>
      <c r="E20" s="7"/>
      <c r="F20" s="7"/>
      <c r="G20" s="7"/>
      <c r="H20" s="7"/>
      <c r="I20" s="7"/>
      <c r="J20" s="7"/>
      <c r="K20" s="7"/>
      <c r="L20" s="7"/>
      <c r="M20" s="7"/>
      <c r="N20" s="7"/>
      <c r="O20" s="7"/>
      <c r="P20" s="7"/>
      <c r="Q20" s="7"/>
      <c r="R20" s="7"/>
      <c r="S20" s="7"/>
      <c r="T20" s="7"/>
      <c r="U20" s="7"/>
      <c r="V20" s="7"/>
      <c r="W20" s="7"/>
    </row>
    <row r="21" spans="2:23" s="8" customFormat="1" x14ac:dyDescent="0.2">
      <c r="B21" s="7"/>
      <c r="C21" s="7"/>
      <c r="D21" s="7"/>
      <c r="E21" s="7"/>
      <c r="F21" s="7"/>
      <c r="G21" s="7"/>
      <c r="H21" s="7"/>
      <c r="I21" s="7"/>
      <c r="J21" s="7"/>
      <c r="K21" s="7"/>
      <c r="L21" s="7"/>
      <c r="M21" s="7"/>
      <c r="N21" s="7"/>
      <c r="O21" s="7"/>
      <c r="P21" s="7"/>
      <c r="Q21" s="7"/>
      <c r="R21" s="7"/>
      <c r="S21" s="7"/>
      <c r="T21" s="7"/>
      <c r="U21" s="7"/>
      <c r="V21" s="7"/>
      <c r="W21" s="7"/>
    </row>
    <row r="22" spans="2:23" s="8" customFormat="1" x14ac:dyDescent="0.2">
      <c r="B22" s="7"/>
      <c r="C22" s="7"/>
      <c r="D22" s="7"/>
      <c r="E22" s="7"/>
      <c r="F22" s="7"/>
      <c r="G22" s="7"/>
      <c r="H22" s="7"/>
      <c r="I22" s="7"/>
      <c r="J22" s="7"/>
      <c r="K22" s="7"/>
      <c r="L22" s="7"/>
      <c r="M22" s="7"/>
      <c r="N22" s="7"/>
      <c r="O22" s="7"/>
      <c r="P22" s="7"/>
      <c r="Q22" s="7"/>
      <c r="R22" s="7"/>
      <c r="S22" s="7"/>
      <c r="T22" s="7"/>
      <c r="U22" s="7"/>
      <c r="V22" s="7"/>
      <c r="W22" s="7"/>
    </row>
    <row r="23" spans="2:23" s="8" customFormat="1" x14ac:dyDescent="0.2">
      <c r="B23" s="7"/>
      <c r="C23" s="7"/>
      <c r="D23" s="7"/>
      <c r="E23" s="7"/>
      <c r="F23" s="7"/>
      <c r="G23" s="7"/>
      <c r="H23" s="7"/>
      <c r="I23" s="7"/>
      <c r="J23" s="7"/>
      <c r="K23" s="7"/>
      <c r="L23" s="7"/>
      <c r="M23" s="7"/>
      <c r="N23" s="7"/>
      <c r="O23" s="7"/>
      <c r="P23" s="7"/>
      <c r="Q23" s="7"/>
      <c r="R23" s="7"/>
      <c r="S23" s="7"/>
      <c r="T23" s="7"/>
      <c r="U23" s="7"/>
      <c r="V23" s="7"/>
      <c r="W23" s="7"/>
    </row>
    <row r="24" spans="2:23" s="8" customFormat="1" x14ac:dyDescent="0.2">
      <c r="B24" s="7"/>
      <c r="C24" s="7"/>
      <c r="D24" s="7"/>
      <c r="E24" s="7"/>
      <c r="F24" s="7"/>
      <c r="G24" s="7"/>
      <c r="H24" s="7"/>
      <c r="I24" s="7"/>
      <c r="J24" s="7"/>
      <c r="K24" s="7"/>
      <c r="L24" s="7"/>
      <c r="M24" s="7"/>
      <c r="N24" s="7"/>
      <c r="O24" s="7"/>
      <c r="P24" s="7"/>
      <c r="Q24" s="7"/>
      <c r="R24" s="7"/>
      <c r="S24" s="7"/>
      <c r="T24" s="7"/>
      <c r="U24" s="7"/>
      <c r="V24" s="7"/>
      <c r="W24" s="7"/>
    </row>
    <row r="25" spans="2:23" s="8" customFormat="1" x14ac:dyDescent="0.2">
      <c r="B25" s="7"/>
      <c r="C25" s="7"/>
      <c r="D25" s="7"/>
      <c r="E25" s="7"/>
      <c r="F25" s="7"/>
      <c r="G25" s="7"/>
      <c r="H25" s="7"/>
      <c r="I25" s="7"/>
      <c r="J25" s="7"/>
      <c r="K25" s="7"/>
      <c r="L25" s="7"/>
      <c r="M25" s="7"/>
      <c r="N25" s="7"/>
      <c r="O25" s="7"/>
      <c r="P25" s="7"/>
      <c r="Q25" s="7"/>
      <c r="R25" s="7"/>
      <c r="S25" s="7"/>
      <c r="T25" s="7"/>
      <c r="U25" s="7"/>
      <c r="V25" s="7"/>
      <c r="W25" s="7"/>
    </row>
    <row r="26" spans="2:23" s="8" customFormat="1" x14ac:dyDescent="0.2">
      <c r="B26" s="7"/>
      <c r="C26" s="7"/>
      <c r="D26" s="7"/>
      <c r="E26" s="7"/>
      <c r="F26" s="7"/>
      <c r="G26" s="7"/>
      <c r="H26" s="7"/>
      <c r="I26" s="7"/>
      <c r="J26" s="7"/>
      <c r="K26" s="7"/>
      <c r="L26" s="7"/>
      <c r="M26" s="7"/>
      <c r="N26" s="7"/>
      <c r="O26" s="7"/>
      <c r="P26" s="7"/>
      <c r="Q26" s="7"/>
      <c r="R26" s="7"/>
      <c r="S26" s="7"/>
      <c r="T26" s="7"/>
      <c r="U26" s="7"/>
      <c r="V26" s="7"/>
      <c r="W26" s="7"/>
    </row>
    <row r="27" spans="2:23" s="8" customFormat="1" ht="20.100000000000001" customHeight="1" x14ac:dyDescent="0.2">
      <c r="B27" s="7"/>
      <c r="C27" s="83" t="s">
        <v>233</v>
      </c>
      <c r="D27" s="84"/>
      <c r="E27" s="84"/>
      <c r="F27" s="84"/>
      <c r="G27" s="84"/>
      <c r="H27" s="84"/>
      <c r="I27" s="84"/>
      <c r="J27" s="84"/>
      <c r="K27" s="84"/>
      <c r="L27" s="85"/>
      <c r="M27" s="7"/>
      <c r="N27" s="7"/>
      <c r="O27" s="7"/>
      <c r="P27" s="7"/>
      <c r="Q27" s="7"/>
      <c r="R27" s="7"/>
      <c r="S27" s="7"/>
      <c r="T27" s="7"/>
      <c r="U27" s="7"/>
      <c r="V27" s="7"/>
      <c r="W27" s="7"/>
    </row>
    <row r="28" spans="2:23" s="8" customFormat="1" ht="15" x14ac:dyDescent="0.2">
      <c r="B28" s="7"/>
      <c r="C28" s="61" t="s">
        <v>238</v>
      </c>
      <c r="D28" s="61"/>
      <c r="E28" s="61"/>
      <c r="F28" s="61"/>
      <c r="G28" s="61"/>
      <c r="H28" s="61"/>
      <c r="I28" s="24" t="s">
        <v>0</v>
      </c>
      <c r="J28" s="76">
        <v>80</v>
      </c>
      <c r="K28" s="77"/>
      <c r="L28" s="24" t="s">
        <v>1</v>
      </c>
      <c r="M28" s="7"/>
      <c r="N28" s="7"/>
      <c r="O28" s="7"/>
      <c r="P28" s="7"/>
      <c r="Q28" s="7"/>
      <c r="R28" s="7"/>
      <c r="S28" s="7"/>
      <c r="T28" s="7"/>
      <c r="U28" s="7"/>
      <c r="V28" s="7"/>
      <c r="W28" s="7"/>
    </row>
    <row r="29" spans="2:23" s="8" customFormat="1" ht="15" x14ac:dyDescent="0.2">
      <c r="B29" s="7"/>
      <c r="C29" s="61" t="s">
        <v>249</v>
      </c>
      <c r="D29" s="61"/>
      <c r="E29" s="61"/>
      <c r="F29" s="61"/>
      <c r="G29" s="61"/>
      <c r="H29" s="61"/>
      <c r="I29" s="24" t="str">
        <f>+IF(_xlnm.Extract="Trefoil Assembly","S=O.D.","S")</f>
        <v>S</v>
      </c>
      <c r="J29" s="76">
        <v>50</v>
      </c>
      <c r="K29" s="77"/>
      <c r="L29" s="24" t="s">
        <v>2</v>
      </c>
      <c r="M29" s="7"/>
      <c r="N29" s="7"/>
      <c r="O29" s="7"/>
      <c r="P29" s="7"/>
      <c r="Q29" s="7"/>
      <c r="R29" s="7"/>
      <c r="S29" s="7"/>
      <c r="T29" s="7"/>
      <c r="U29" s="7"/>
      <c r="V29" s="7"/>
      <c r="W29" s="7"/>
    </row>
    <row r="30" spans="2:23" s="8" customFormat="1" ht="15" x14ac:dyDescent="0.2">
      <c r="B30" s="7"/>
      <c r="C30" s="61" t="s">
        <v>239</v>
      </c>
      <c r="D30" s="61"/>
      <c r="E30" s="61"/>
      <c r="F30" s="61"/>
      <c r="G30" s="61"/>
      <c r="H30" s="61"/>
      <c r="I30" s="24"/>
      <c r="J30" s="76">
        <v>100</v>
      </c>
      <c r="K30" s="77"/>
      <c r="L30" s="24" t="s">
        <v>3</v>
      </c>
      <c r="M30" s="7"/>
      <c r="N30" s="7"/>
      <c r="O30" s="7"/>
      <c r="P30" s="7"/>
      <c r="Q30" s="7"/>
      <c r="R30" s="7"/>
      <c r="S30" s="7"/>
      <c r="T30" s="7"/>
      <c r="U30" s="7"/>
      <c r="V30" s="7"/>
      <c r="W30" s="7"/>
    </row>
    <row r="31" spans="2:23" s="8" customFormat="1" ht="15" x14ac:dyDescent="0.2">
      <c r="B31" s="7"/>
      <c r="C31" s="55" t="s">
        <v>247</v>
      </c>
      <c r="D31" s="55"/>
      <c r="E31" s="55"/>
      <c r="F31" s="55"/>
      <c r="G31" s="55"/>
      <c r="H31" s="55"/>
      <c r="I31" s="25" t="s">
        <v>4</v>
      </c>
      <c r="J31" s="78" cm="1">
        <f t="array" ref="J31">IFERROR(_xlfn.SWITCH(TRUE,
(D2&gt;=1.5),1.5,
(D2&gt;=1.4),1.4,
(D2&gt;=1.3),1.3,
(D2&gt;=1.2),1.2,
(D2&gt;=1.1),1.1,
(D2&gt;=1),1,
(D2&gt;=0.9),0.9,
(D2&gt;=0.8),0.8,
(D2&gt;=0.7),0.7,
(D2&gt;=0.6),0.6,
(D2&gt;=0.5),0.5,
(D2&gt;=0.4),0.4,
(D2&gt;=0.3),0.3,
(D2&gt;=0.15),0.15,
"Contact your Sales Rep."),"Contact your Sales Rep.")</f>
        <v>0.7</v>
      </c>
      <c r="K31" s="79"/>
      <c r="L31" s="24" t="s">
        <v>3</v>
      </c>
      <c r="M31" s="7"/>
      <c r="N31" s="7"/>
      <c r="O31" s="7"/>
      <c r="P31" s="7"/>
      <c r="Q31" s="7"/>
      <c r="R31" s="7"/>
      <c r="S31" s="7"/>
      <c r="T31" s="7"/>
      <c r="U31" s="7"/>
      <c r="V31" s="7"/>
      <c r="W31" s="7"/>
    </row>
    <row r="32" spans="2:23" s="8" customFormat="1" ht="15" x14ac:dyDescent="0.2">
      <c r="B32" s="7"/>
      <c r="C32" s="55" t="s">
        <v>248</v>
      </c>
      <c r="D32" s="55"/>
      <c r="E32" s="55"/>
      <c r="F32" s="55"/>
      <c r="G32" s="55"/>
      <c r="H32" s="55"/>
      <c r="I32" s="25" t="s">
        <v>5</v>
      </c>
      <c r="J32" s="57">
        <f>IFERROR((J30/J31),"Contact your Sales Rep.")</f>
        <v>142.85714285714286</v>
      </c>
      <c r="K32" s="58"/>
      <c r="L32" s="24" t="s">
        <v>246</v>
      </c>
      <c r="M32" s="7"/>
      <c r="N32" s="7"/>
      <c r="O32" s="7"/>
      <c r="P32" s="7"/>
      <c r="Q32" s="7"/>
      <c r="R32" s="7"/>
      <c r="S32" s="7"/>
      <c r="T32" s="7"/>
      <c r="U32" s="7"/>
      <c r="V32" s="7"/>
      <c r="W32" s="7"/>
    </row>
    <row r="33" spans="2:23" s="8" customFormat="1" ht="15" x14ac:dyDescent="0.2">
      <c r="B33" s="7"/>
      <c r="C33" s="55" t="s">
        <v>235</v>
      </c>
      <c r="D33" s="55"/>
      <c r="E33" s="55"/>
      <c r="F33" s="55"/>
      <c r="G33" s="55"/>
      <c r="H33" s="55"/>
      <c r="I33" s="25" t="s">
        <v>237</v>
      </c>
      <c r="J33" s="57">
        <f>IFERROR(IF(_xlnm.Extract="Trefoil Assembly",(0.17*(J28)^2)/(J8/1000),(0.17*(J28)^2)/(J29/1000)),"Contact your Sales Rep.")</f>
        <v>21760</v>
      </c>
      <c r="K33" s="58"/>
      <c r="L33" s="24" t="s">
        <v>6</v>
      </c>
      <c r="M33" s="7"/>
      <c r="N33" s="7"/>
      <c r="O33" s="7"/>
      <c r="P33" s="7"/>
      <c r="Q33" s="7"/>
      <c r="R33" s="7"/>
      <c r="S33" s="7"/>
      <c r="T33" s="7"/>
      <c r="U33" s="7"/>
      <c r="V33" s="7"/>
      <c r="W33" s="7"/>
    </row>
    <row r="34" spans="2:23" s="8" customFormat="1" x14ac:dyDescent="0.2">
      <c r="B34" s="35"/>
      <c r="C34" s="7"/>
      <c r="D34" s="7"/>
      <c r="E34" s="7"/>
      <c r="F34" s="7"/>
      <c r="G34" s="7"/>
      <c r="H34" s="7"/>
      <c r="I34" s="7"/>
      <c r="J34" s="7"/>
      <c r="K34" s="7"/>
      <c r="L34" s="7"/>
      <c r="M34" s="10"/>
      <c r="N34" s="9"/>
      <c r="O34" s="9"/>
      <c r="P34" s="7"/>
      <c r="Q34" s="9"/>
      <c r="R34" s="9"/>
      <c r="S34" s="9"/>
      <c r="T34" s="9"/>
      <c r="U34" s="9"/>
      <c r="V34" s="9"/>
      <c r="W34" s="9"/>
    </row>
    <row r="35" spans="2:23" s="8" customFormat="1" x14ac:dyDescent="0.2">
      <c r="B35" s="35"/>
      <c r="C35" s="7"/>
      <c r="D35" s="7"/>
      <c r="E35" s="7"/>
      <c r="F35" s="7"/>
      <c r="G35" s="7"/>
      <c r="H35" s="7"/>
      <c r="I35" s="7"/>
      <c r="J35" s="7"/>
      <c r="K35" s="7"/>
      <c r="L35" s="7"/>
      <c r="M35" s="10"/>
      <c r="N35" s="9"/>
      <c r="O35" s="9"/>
      <c r="P35" s="9"/>
      <c r="Q35" s="9"/>
      <c r="R35" s="9"/>
      <c r="S35" s="9"/>
      <c r="T35" s="9"/>
      <c r="U35" s="9"/>
      <c r="V35" s="9"/>
      <c r="W35" s="9"/>
    </row>
    <row r="36" spans="2:23" s="8" customFormat="1" x14ac:dyDescent="0.2">
      <c r="B36" s="35"/>
      <c r="C36" s="7"/>
      <c r="D36" s="7"/>
      <c r="E36" s="7"/>
      <c r="F36" s="7"/>
      <c r="G36" s="7"/>
      <c r="H36" s="7"/>
      <c r="I36" s="7"/>
      <c r="J36" s="7"/>
      <c r="K36" s="7"/>
      <c r="L36" s="7"/>
      <c r="M36" s="10"/>
      <c r="N36" s="9"/>
      <c r="O36" s="9"/>
      <c r="P36" s="9"/>
      <c r="Q36" s="9"/>
      <c r="R36" s="9"/>
      <c r="S36" s="9"/>
      <c r="T36" s="9"/>
      <c r="U36" s="9"/>
      <c r="V36" s="9"/>
      <c r="W36" s="9"/>
    </row>
    <row r="37" spans="2:23" s="8" customFormat="1" x14ac:dyDescent="0.2">
      <c r="B37" s="35"/>
      <c r="C37" s="7"/>
      <c r="D37" s="7"/>
      <c r="E37" s="7"/>
      <c r="F37" s="7"/>
      <c r="G37" s="7"/>
      <c r="H37" s="7"/>
      <c r="I37" s="7"/>
      <c r="J37" s="7"/>
      <c r="K37" s="7"/>
      <c r="L37" s="7"/>
      <c r="M37" s="10"/>
      <c r="N37" s="9"/>
      <c r="O37" s="9"/>
      <c r="P37" s="9"/>
      <c r="Q37" s="9"/>
      <c r="R37" s="9"/>
      <c r="S37" s="9"/>
      <c r="T37" s="9"/>
      <c r="U37" s="9"/>
      <c r="V37" s="9"/>
      <c r="W37" s="9"/>
    </row>
    <row r="38" spans="2:23" s="8" customFormat="1" x14ac:dyDescent="0.2">
      <c r="B38" s="35"/>
      <c r="C38" s="7"/>
      <c r="D38" s="7"/>
      <c r="E38" s="7"/>
      <c r="F38" s="7"/>
      <c r="G38" s="7"/>
      <c r="H38" s="7"/>
      <c r="I38" s="7"/>
      <c r="J38" s="7"/>
      <c r="K38" s="7"/>
      <c r="L38" s="7"/>
      <c r="M38" s="10"/>
      <c r="N38" s="9"/>
      <c r="O38" s="9"/>
      <c r="P38" s="9"/>
      <c r="Q38" s="9"/>
      <c r="R38" s="9"/>
      <c r="S38" s="9"/>
      <c r="T38" s="9"/>
      <c r="U38" s="9"/>
      <c r="V38" s="9"/>
      <c r="W38" s="9"/>
    </row>
    <row r="39" spans="2:23" s="8" customFormat="1" x14ac:dyDescent="0.2">
      <c r="B39" s="35"/>
      <c r="C39" s="7"/>
      <c r="D39" s="7"/>
      <c r="E39" s="7"/>
      <c r="F39" s="7"/>
      <c r="G39" s="7"/>
      <c r="H39" s="7"/>
      <c r="I39" s="7"/>
      <c r="J39" s="7"/>
      <c r="K39" s="7"/>
      <c r="L39" s="7"/>
      <c r="M39" s="10"/>
      <c r="N39" s="9"/>
      <c r="O39" s="9"/>
      <c r="P39" s="9"/>
      <c r="Q39" s="9"/>
      <c r="R39" s="9"/>
      <c r="S39" s="9"/>
      <c r="T39" s="9"/>
      <c r="U39" s="9"/>
      <c r="V39" s="9"/>
      <c r="W39" s="9"/>
    </row>
    <row r="40" spans="2:23" s="8" customFormat="1" x14ac:dyDescent="0.2">
      <c r="B40" s="35"/>
      <c r="C40" s="7"/>
      <c r="D40" s="7"/>
      <c r="E40" s="7"/>
      <c r="F40" s="7"/>
      <c r="G40" s="7"/>
      <c r="H40" s="7"/>
      <c r="I40" s="7"/>
      <c r="J40" s="7"/>
      <c r="K40" s="7"/>
      <c r="L40" s="7"/>
      <c r="M40" s="10"/>
      <c r="N40" s="9"/>
      <c r="O40" s="9"/>
      <c r="P40" s="9"/>
      <c r="Q40" s="9"/>
      <c r="R40" s="9"/>
      <c r="S40" s="9"/>
      <c r="T40" s="9"/>
      <c r="U40" s="9"/>
      <c r="V40" s="9"/>
      <c r="W40" s="9"/>
    </row>
    <row r="41" spans="2:23" ht="17.25" customHeight="1" x14ac:dyDescent="0.25">
      <c r="B41" s="35"/>
      <c r="C41" s="87" t="s">
        <v>7</v>
      </c>
      <c r="D41" s="88"/>
      <c r="E41" s="88"/>
      <c r="F41" s="88"/>
      <c r="G41" s="88"/>
      <c r="H41" s="88"/>
      <c r="I41" s="88"/>
      <c r="J41" s="88"/>
      <c r="K41" s="88"/>
      <c r="L41" s="89"/>
      <c r="M41" s="9"/>
      <c r="N41" s="9"/>
      <c r="O41" s="9"/>
      <c r="P41" s="9"/>
      <c r="Q41" s="9"/>
      <c r="R41" s="9"/>
      <c r="S41" s="9"/>
      <c r="T41" s="9"/>
      <c r="U41" s="9"/>
      <c r="V41" s="9"/>
      <c r="W41" s="9"/>
    </row>
    <row r="42" spans="2:23" ht="15.75" x14ac:dyDescent="0.25">
      <c r="B42" s="35"/>
      <c r="C42" s="42" t="s">
        <v>209</v>
      </c>
      <c r="D42" s="59" t="s">
        <v>210</v>
      </c>
      <c r="E42" s="59"/>
      <c r="F42" s="59"/>
      <c r="G42" s="59"/>
      <c r="H42" s="59"/>
      <c r="I42" s="59"/>
      <c r="J42" s="59"/>
      <c r="K42" s="59"/>
      <c r="L42" s="60"/>
      <c r="M42" s="9"/>
      <c r="N42" s="9"/>
      <c r="O42" s="9"/>
      <c r="P42" s="9"/>
      <c r="Q42" s="9"/>
      <c r="R42" s="9"/>
      <c r="S42" s="9"/>
      <c r="T42" s="9"/>
      <c r="U42" s="9"/>
      <c r="V42" s="9"/>
      <c r="W42" s="9"/>
    </row>
    <row r="43" spans="2:23" ht="15.75" x14ac:dyDescent="0.25">
      <c r="B43" s="35"/>
      <c r="C43" s="40" t="s">
        <v>8</v>
      </c>
      <c r="D43" s="50" t="s">
        <v>243</v>
      </c>
      <c r="E43" s="50"/>
      <c r="F43" s="50"/>
      <c r="G43" s="50"/>
      <c r="H43" s="50"/>
      <c r="I43" s="50"/>
      <c r="J43" s="50"/>
      <c r="K43" s="50"/>
      <c r="L43" s="51"/>
      <c r="M43" s="9"/>
      <c r="N43" s="9"/>
      <c r="O43" s="9"/>
      <c r="P43" s="9"/>
      <c r="Q43" s="9"/>
      <c r="R43" s="9"/>
      <c r="S43" s="9"/>
      <c r="T43" s="9"/>
      <c r="U43" s="9"/>
      <c r="V43" s="9"/>
      <c r="W43" s="9"/>
    </row>
    <row r="44" spans="2:23" ht="15.75" x14ac:dyDescent="0.25">
      <c r="B44" s="35"/>
      <c r="C44" s="40" t="s">
        <v>211</v>
      </c>
      <c r="D44" s="90" t="s">
        <v>234</v>
      </c>
      <c r="E44" s="90"/>
      <c r="F44" s="90"/>
      <c r="G44" s="90"/>
      <c r="H44" s="90"/>
      <c r="I44" s="90"/>
      <c r="J44" s="90"/>
      <c r="K44" s="90"/>
      <c r="L44" s="91"/>
      <c r="M44" s="13"/>
      <c r="N44" s="13"/>
      <c r="O44" s="13"/>
      <c r="P44" s="9"/>
      <c r="Q44" s="9"/>
      <c r="R44" s="9"/>
      <c r="S44" s="9"/>
      <c r="T44" s="9"/>
      <c r="U44" s="9"/>
      <c r="V44" s="9"/>
      <c r="W44" s="9"/>
    </row>
    <row r="45" spans="2:23" ht="27.75" customHeight="1" x14ac:dyDescent="0.2">
      <c r="B45" s="35"/>
      <c r="C45" s="41" t="s">
        <v>244</v>
      </c>
      <c r="D45" s="92" t="s">
        <v>245</v>
      </c>
      <c r="E45" s="92"/>
      <c r="F45" s="92"/>
      <c r="G45" s="92"/>
      <c r="H45" s="92"/>
      <c r="I45" s="92"/>
      <c r="J45" s="92"/>
      <c r="K45" s="92"/>
      <c r="L45" s="93"/>
      <c r="M45" s="29"/>
      <c r="N45" s="29"/>
      <c r="O45" s="29"/>
      <c r="P45" s="29"/>
      <c r="Q45" s="29"/>
      <c r="R45" s="29"/>
      <c r="S45" s="29"/>
      <c r="T45" s="29"/>
      <c r="U45" s="29"/>
      <c r="V45" s="29"/>
      <c r="W45" s="9"/>
    </row>
    <row r="46" spans="2:23" ht="16.5" customHeight="1" x14ac:dyDescent="0.2">
      <c r="B46" s="35"/>
      <c r="C46" s="54"/>
      <c r="D46" s="94"/>
      <c r="E46" s="94"/>
      <c r="F46" s="94"/>
      <c r="G46" s="94"/>
      <c r="H46" s="94"/>
      <c r="I46" s="94"/>
      <c r="J46" s="94"/>
      <c r="K46" s="94"/>
      <c r="L46" s="95"/>
      <c r="M46" s="29"/>
      <c r="N46" s="29"/>
      <c r="O46" s="29"/>
      <c r="P46" s="29"/>
      <c r="Q46" s="29"/>
      <c r="R46" s="29"/>
      <c r="S46" s="29"/>
      <c r="T46" s="29"/>
      <c r="U46" s="29"/>
      <c r="V46" s="29"/>
      <c r="W46" s="9"/>
    </row>
    <row r="47" spans="2:23" ht="16.5" customHeight="1" x14ac:dyDescent="0.2">
      <c r="B47" s="35"/>
      <c r="C47" s="5"/>
      <c r="D47" s="52"/>
      <c r="E47" s="52"/>
      <c r="F47" s="52"/>
      <c r="G47" s="52"/>
      <c r="H47" s="52"/>
      <c r="I47" s="52"/>
      <c r="J47" s="52"/>
      <c r="K47" s="52"/>
      <c r="L47" s="52"/>
      <c r="M47" s="29"/>
      <c r="N47" s="29"/>
      <c r="O47" s="29"/>
      <c r="P47" s="29"/>
      <c r="Q47" s="29"/>
      <c r="R47" s="29"/>
      <c r="S47" s="29"/>
      <c r="T47" s="29"/>
      <c r="U47" s="29"/>
      <c r="V47" s="29"/>
      <c r="W47" s="9"/>
    </row>
    <row r="48" spans="2:23" ht="16.5" customHeight="1" x14ac:dyDescent="0.25">
      <c r="B48" s="35"/>
      <c r="C48" s="53"/>
      <c r="D48" s="96"/>
      <c r="E48" s="96"/>
      <c r="F48" s="96"/>
      <c r="G48" s="96"/>
      <c r="H48" s="96"/>
      <c r="I48" s="96"/>
      <c r="J48" s="96"/>
      <c r="K48" s="96"/>
      <c r="L48" s="96"/>
      <c r="M48" s="15"/>
      <c r="N48" s="15"/>
      <c r="O48" s="15"/>
      <c r="P48" s="9"/>
      <c r="Q48" s="9"/>
      <c r="R48" s="9"/>
      <c r="S48" s="9"/>
      <c r="T48" s="9"/>
      <c r="U48" s="9"/>
      <c r="V48" s="9"/>
      <c r="W48" s="9"/>
    </row>
    <row r="49" spans="1:23" ht="159.94999999999999" customHeight="1" x14ac:dyDescent="0.2">
      <c r="B49" s="35"/>
      <c r="C49" s="56" t="s">
        <v>254</v>
      </c>
      <c r="D49" s="56"/>
      <c r="E49" s="56"/>
      <c r="F49" s="56"/>
      <c r="G49" s="56"/>
      <c r="H49" s="56"/>
      <c r="I49" s="56"/>
      <c r="J49" s="56"/>
      <c r="K49" s="56"/>
      <c r="L49" s="56"/>
      <c r="M49" s="14"/>
      <c r="N49" s="14"/>
      <c r="O49" s="14"/>
      <c r="P49" s="9"/>
      <c r="Q49" s="9"/>
      <c r="R49" s="9"/>
      <c r="S49" s="9"/>
      <c r="T49" s="9"/>
      <c r="U49" s="9"/>
      <c r="V49" s="9"/>
      <c r="W49" s="9"/>
    </row>
    <row r="50" spans="1:23" x14ac:dyDescent="0.2">
      <c r="B50" s="35"/>
      <c r="C50" s="18"/>
      <c r="D50" s="18"/>
      <c r="E50" s="18"/>
      <c r="F50" s="18"/>
      <c r="G50" s="18"/>
      <c r="H50" s="18"/>
      <c r="I50" s="18"/>
      <c r="J50" s="18"/>
      <c r="K50" s="18"/>
      <c r="L50" s="18"/>
      <c r="M50" s="14"/>
      <c r="N50" s="14"/>
      <c r="O50" s="14"/>
      <c r="P50" s="5"/>
      <c r="Q50" s="9"/>
      <c r="R50" s="9"/>
      <c r="S50" s="9"/>
      <c r="T50" s="9"/>
      <c r="U50" s="9"/>
      <c r="V50" s="9"/>
      <c r="W50" s="9"/>
    </row>
    <row r="51" spans="1:23" ht="6" customHeight="1" x14ac:dyDescent="0.2">
      <c r="A51" s="5"/>
      <c r="B51" s="4"/>
      <c r="C51" s="5"/>
      <c r="D51" s="5"/>
      <c r="E51" s="5"/>
      <c r="F51" s="5"/>
      <c r="G51" s="5"/>
      <c r="H51" s="5"/>
      <c r="I51" s="5"/>
      <c r="J51" s="33"/>
      <c r="K51" s="33"/>
      <c r="L51" s="5"/>
      <c r="M51" s="5"/>
      <c r="N51" s="5"/>
      <c r="O51" s="5"/>
      <c r="P51" s="5"/>
      <c r="Q51" s="5"/>
      <c r="R51" s="5"/>
      <c r="S51" s="5"/>
      <c r="T51" s="5"/>
      <c r="U51" s="5"/>
      <c r="V51" s="5"/>
      <c r="W51" s="5"/>
    </row>
    <row r="52" spans="1:23" x14ac:dyDescent="0.2">
      <c r="A52" s="5"/>
      <c r="B52" s="4"/>
      <c r="C52" s="5"/>
      <c r="D52" s="5"/>
      <c r="E52" s="5"/>
      <c r="F52" s="5"/>
      <c r="G52" s="5"/>
      <c r="H52" s="5"/>
      <c r="I52" s="5"/>
      <c r="J52" s="33"/>
      <c r="K52" s="33"/>
      <c r="L52" s="5"/>
      <c r="M52" s="5"/>
      <c r="N52" s="5"/>
      <c r="O52" s="5"/>
      <c r="P52" s="5"/>
      <c r="Q52" s="5"/>
      <c r="R52" s="5"/>
      <c r="S52" s="5"/>
      <c r="T52" s="5"/>
      <c r="U52" s="5"/>
      <c r="V52" s="5"/>
      <c r="W52" s="5"/>
    </row>
  </sheetData>
  <sheetProtection algorithmName="SHA-512" hashValue="oZQ6rxIRAax2rt8u4qQLPpDeKt3xSFy8m9uesS+uNwSG5FPYIczwd6tL71dLLURufbEhGrz4Wi+fCesDOLeQiw==" saltValue="htQd06doC3LFgKamW79P7w==" spinCount="100000" sheet="1" objects="1" scenarios="1"/>
  <mergeCells count="34">
    <mergeCell ref="D45:L46"/>
    <mergeCell ref="D48:L48"/>
    <mergeCell ref="C27:L27"/>
    <mergeCell ref="C8:I8"/>
    <mergeCell ref="C9:I9"/>
    <mergeCell ref="C10:I10"/>
    <mergeCell ref="J13:K13"/>
    <mergeCell ref="J11:K11"/>
    <mergeCell ref="I2:L2"/>
    <mergeCell ref="I3:L3"/>
    <mergeCell ref="J8:K8"/>
    <mergeCell ref="J9:K9"/>
    <mergeCell ref="J12:K12"/>
    <mergeCell ref="C11:I11"/>
    <mergeCell ref="C12:I12"/>
    <mergeCell ref="C7:L7"/>
    <mergeCell ref="J10:K10"/>
    <mergeCell ref="G5:L5"/>
    <mergeCell ref="C33:H33"/>
    <mergeCell ref="C49:L49"/>
    <mergeCell ref="J33:K33"/>
    <mergeCell ref="D42:L42"/>
    <mergeCell ref="C28:H28"/>
    <mergeCell ref="C29:H29"/>
    <mergeCell ref="C30:H30"/>
    <mergeCell ref="C31:H31"/>
    <mergeCell ref="C32:H32"/>
    <mergeCell ref="J28:K28"/>
    <mergeCell ref="J29:K29"/>
    <mergeCell ref="J30:K30"/>
    <mergeCell ref="J31:K31"/>
    <mergeCell ref="J32:K32"/>
    <mergeCell ref="C41:L41"/>
    <mergeCell ref="D44:L44"/>
  </mergeCells>
  <conditionalFormatting sqref="J29:K29">
    <cfRule type="expression" dxfId="0" priority="1">
      <formula>IF($J$9="Trefoil Assembly",TRUE,FALSE)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621484-016B-49F5-BFB1-3874DE0D8BEC}">
          <x14:formula1>
            <xm:f>Sheet1!$T$2:$T$4</xm:f>
          </x14:formula1>
          <xm:sqref>J9</xm:sqref>
        </x14:dataValidation>
        <x14:dataValidation type="list" allowBlank="1" showInputMessage="1" showErrorMessage="1" xr:uid="{B1620590-F9C3-4D53-966D-87A5EBFABFF4}">
          <x14:formula1>
            <xm:f>Sheet1!$U$2:$U$3</xm:f>
          </x14:formula1>
          <xm:sqref>J11</xm:sqref>
        </x14:dataValidation>
        <x14:dataValidation type="list" allowBlank="1" showInputMessage="1" showErrorMessage="1" xr:uid="{F0F28A35-670F-4AB8-AB66-B1E522191C7C}">
          <x14:formula1>
            <xm:f>Sheet1!$V$2:$V$5</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B366-229D-46A6-AFF5-A7345B209896}">
  <dimension ref="A1:AF97"/>
  <sheetViews>
    <sheetView zoomScaleNormal="100" workbookViewId="0"/>
  </sheetViews>
  <sheetFormatPr defaultColWidth="9.140625" defaultRowHeight="12.75" x14ac:dyDescent="0.2"/>
  <cols>
    <col min="1" max="1" width="11" style="49" bestFit="1" customWidth="1"/>
    <col min="2" max="2" width="21" style="49" bestFit="1" customWidth="1"/>
    <col min="3" max="3" width="13.140625" style="106" customWidth="1"/>
    <col min="4" max="4" width="7.28515625" style="106" customWidth="1"/>
    <col min="5" max="5" width="7.140625" style="106" customWidth="1"/>
    <col min="6" max="6" width="10.7109375" style="106" customWidth="1"/>
    <col min="7" max="7" width="9.85546875" style="106" customWidth="1"/>
    <col min="8" max="8" width="14.85546875" style="110" customWidth="1"/>
    <col min="9" max="9" width="7.85546875" style="110" customWidth="1"/>
    <col min="10" max="10" width="8.85546875" style="110" customWidth="1"/>
    <col min="11" max="11" width="9.42578125" style="106" customWidth="1"/>
    <col min="12" max="12" width="11.42578125" style="106" customWidth="1"/>
    <col min="13" max="14" width="11" style="106" customWidth="1"/>
    <col min="15" max="15" width="18.7109375" style="106" customWidth="1"/>
    <col min="16" max="16" width="8.42578125" style="106" customWidth="1"/>
    <col min="17" max="17" width="7.85546875" style="106" customWidth="1"/>
    <col min="18" max="18" width="7.28515625" style="106" customWidth="1"/>
    <col min="19" max="19" width="6.140625" style="106" customWidth="1"/>
    <col min="20" max="20" width="16" style="106" bestFit="1" customWidth="1"/>
    <col min="21" max="21" width="16.7109375" style="106" customWidth="1"/>
    <col min="22" max="22" width="13.42578125" style="106" bestFit="1" customWidth="1"/>
    <col min="23" max="24" width="9.140625" style="106"/>
    <col min="25" max="32" width="9.140625" style="112"/>
    <col min="33" max="16384" width="9.140625" style="107"/>
  </cols>
  <sheetData>
    <row r="1" spans="1:32" s="100" customFormat="1" ht="38.25" x14ac:dyDescent="0.25">
      <c r="A1" s="44"/>
      <c r="B1" s="44" t="s">
        <v>216</v>
      </c>
      <c r="C1" s="98" t="s">
        <v>217</v>
      </c>
      <c r="D1" s="98" t="s">
        <v>214</v>
      </c>
      <c r="E1" s="98" t="s">
        <v>215</v>
      </c>
      <c r="F1" s="98" t="s">
        <v>224</v>
      </c>
      <c r="G1" s="98" t="s">
        <v>220</v>
      </c>
      <c r="H1" s="99" t="s">
        <v>212</v>
      </c>
      <c r="I1" s="99" t="s">
        <v>213</v>
      </c>
      <c r="J1" s="99" t="s">
        <v>218</v>
      </c>
      <c r="K1" s="98" t="s">
        <v>221</v>
      </c>
      <c r="L1" s="98" t="s">
        <v>225</v>
      </c>
      <c r="M1" s="98" t="s">
        <v>222</v>
      </c>
      <c r="N1" s="98" t="s">
        <v>219</v>
      </c>
      <c r="O1" s="98" t="s">
        <v>216</v>
      </c>
      <c r="P1" s="98" t="s">
        <v>241</v>
      </c>
      <c r="Q1" s="98" t="s">
        <v>240</v>
      </c>
      <c r="R1" s="98" t="s">
        <v>223</v>
      </c>
      <c r="S1" s="98"/>
      <c r="T1" s="98"/>
      <c r="U1" s="98"/>
      <c r="V1" s="98"/>
      <c r="W1" s="98"/>
      <c r="X1" s="98"/>
      <c r="Y1" s="111"/>
      <c r="Z1" s="111"/>
      <c r="AA1" s="111"/>
      <c r="AB1" s="111"/>
      <c r="AC1" s="111"/>
      <c r="AD1" s="111"/>
      <c r="AE1" s="111"/>
      <c r="AF1" s="111"/>
    </row>
    <row r="2" spans="1:32" x14ac:dyDescent="0.2">
      <c r="A2" s="45" t="s">
        <v>9</v>
      </c>
      <c r="B2" s="46" t="s">
        <v>10</v>
      </c>
      <c r="C2" s="101" t="s">
        <v>9</v>
      </c>
      <c r="D2" s="102">
        <v>25.999999999999901</v>
      </c>
      <c r="E2" s="97">
        <v>38</v>
      </c>
      <c r="F2" s="101" t="s">
        <v>201</v>
      </c>
      <c r="G2" s="101" t="s">
        <v>232</v>
      </c>
      <c r="H2" s="103" t="s">
        <v>252</v>
      </c>
      <c r="I2" s="103" t="s">
        <v>207</v>
      </c>
      <c r="J2" s="97">
        <f>+IF(AND('Selector and Force Calculator'!$J$8&gt;Sheet1!D2,'Selector and Force Calculator'!$J$8&lt;=Sheet1!E2),1,0)</f>
        <v>0</v>
      </c>
      <c r="K2" s="104">
        <f>+IF('Selector and Force Calculator'!$J$10=Sheet1!G2,1,0)</f>
        <v>0</v>
      </c>
      <c r="L2" s="97">
        <f>+IF('Selector and Force Calculator'!_xlnm.Extract=Sheet1!F2,1,0)</f>
        <v>1</v>
      </c>
      <c r="M2" s="97">
        <f>+IF('Selector and Force Calculator'!$J$11=Sheet1!H2,1,0)</f>
        <v>0</v>
      </c>
      <c r="N2" s="102">
        <f>SUM(J2:M2)</f>
        <v>1</v>
      </c>
      <c r="O2" s="105" t="s">
        <v>10</v>
      </c>
      <c r="P2" s="105">
        <f>+SUM(J2,L2,Q2)</f>
        <v>2</v>
      </c>
      <c r="Q2" s="105">
        <v>1</v>
      </c>
      <c r="R2" s="104">
        <v>15000</v>
      </c>
      <c r="S2" s="105"/>
      <c r="T2" s="106" t="s">
        <v>201</v>
      </c>
      <c r="U2" s="106" t="s">
        <v>251</v>
      </c>
      <c r="V2" s="106" t="s">
        <v>208</v>
      </c>
    </row>
    <row r="3" spans="1:32" x14ac:dyDescent="0.2">
      <c r="A3" s="45" t="s">
        <v>11</v>
      </c>
      <c r="B3" s="46" t="s">
        <v>12</v>
      </c>
      <c r="C3" s="101" t="s">
        <v>11</v>
      </c>
      <c r="D3" s="102">
        <v>25.999999999999901</v>
      </c>
      <c r="E3" s="97">
        <v>38</v>
      </c>
      <c r="F3" s="101" t="s">
        <v>201</v>
      </c>
      <c r="G3" s="101" t="s">
        <v>232</v>
      </c>
      <c r="H3" s="103" t="s">
        <v>253</v>
      </c>
      <c r="I3" s="103" t="s">
        <v>207</v>
      </c>
      <c r="J3" s="97">
        <f>+IF(AND('Selector and Force Calculator'!$J$8&gt;Sheet1!D3,'Selector and Force Calculator'!$J$8&lt;=Sheet1!E3),1,0)</f>
        <v>0</v>
      </c>
      <c r="K3" s="104">
        <f>+IF('Selector and Force Calculator'!$J$10=Sheet1!G3,1,0)</f>
        <v>0</v>
      </c>
      <c r="L3" s="97">
        <f>+IF('Selector and Force Calculator'!_xlnm.Extract=Sheet1!F3,1,0)</f>
        <v>1</v>
      </c>
      <c r="M3" s="97">
        <f>+IF('Selector and Force Calculator'!$J$11=Sheet1!H3,1,0)</f>
        <v>1</v>
      </c>
      <c r="N3" s="102">
        <f t="shared" ref="N3:N66" si="0">SUM(J3:M3)</f>
        <v>2</v>
      </c>
      <c r="O3" s="105" t="s">
        <v>12</v>
      </c>
      <c r="P3" s="105">
        <f t="shared" ref="P3:P66" si="1">+SUM(J3,L3,Q3)</f>
        <v>1</v>
      </c>
      <c r="Q3" s="105">
        <v>0</v>
      </c>
      <c r="R3" s="104"/>
      <c r="S3" s="105"/>
      <c r="T3" s="106" t="s">
        <v>202</v>
      </c>
      <c r="U3" s="106" t="s">
        <v>252</v>
      </c>
      <c r="V3" s="106" t="s">
        <v>204</v>
      </c>
    </row>
    <row r="4" spans="1:32" x14ac:dyDescent="0.2">
      <c r="A4" s="47" t="s">
        <v>13</v>
      </c>
      <c r="B4" s="46" t="s">
        <v>14</v>
      </c>
      <c r="C4" s="108" t="s">
        <v>13</v>
      </c>
      <c r="D4" s="102"/>
      <c r="E4" s="97"/>
      <c r="F4" s="101"/>
      <c r="G4" s="101"/>
      <c r="H4" s="103"/>
      <c r="I4" s="103"/>
      <c r="J4" s="97">
        <f>+IF(AND('Selector and Force Calculator'!$J$8&gt;Sheet1!D4,'Selector and Force Calculator'!$J$8&lt;=Sheet1!E4),1,0)</f>
        <v>0</v>
      </c>
      <c r="K4" s="104">
        <f>+IF('Selector and Force Calculator'!$J$10=Sheet1!G4,1,0)</f>
        <v>0</v>
      </c>
      <c r="L4" s="97">
        <f>+IF('Selector and Force Calculator'!_xlnm.Extract=Sheet1!F4,1,0)</f>
        <v>0</v>
      </c>
      <c r="M4" s="97">
        <f>+IF('Selector and Force Calculator'!$J$11=Sheet1!H4,1,0)</f>
        <v>0</v>
      </c>
      <c r="N4" s="102">
        <f t="shared" si="0"/>
        <v>0</v>
      </c>
      <c r="O4" s="105" t="s">
        <v>14</v>
      </c>
      <c r="P4" s="105">
        <f t="shared" si="1"/>
        <v>0</v>
      </c>
      <c r="Q4" s="105">
        <v>0</v>
      </c>
      <c r="R4" s="104"/>
      <c r="S4" s="105"/>
      <c r="T4" s="106" t="s">
        <v>203</v>
      </c>
      <c r="V4" s="106" t="s">
        <v>205</v>
      </c>
    </row>
    <row r="5" spans="1:32" x14ac:dyDescent="0.2">
      <c r="A5" s="47" t="s">
        <v>15</v>
      </c>
      <c r="B5" s="46" t="s">
        <v>16</v>
      </c>
      <c r="C5" s="108" t="s">
        <v>15</v>
      </c>
      <c r="D5" s="102">
        <v>25.999999999999901</v>
      </c>
      <c r="E5" s="97">
        <v>38</v>
      </c>
      <c r="F5" s="101" t="s">
        <v>201</v>
      </c>
      <c r="G5" s="101" t="s">
        <v>208</v>
      </c>
      <c r="H5" s="103" t="s">
        <v>253</v>
      </c>
      <c r="I5" s="103" t="s">
        <v>206</v>
      </c>
      <c r="J5" s="97">
        <f>+IF(AND('Selector and Force Calculator'!$J$8&gt;Sheet1!D5,'Selector and Force Calculator'!$J$8&lt;=Sheet1!E5),1,0)</f>
        <v>0</v>
      </c>
      <c r="K5" s="104">
        <f>+IF('Selector and Force Calculator'!$J$10=Sheet1!G5,1,0)</f>
        <v>1</v>
      </c>
      <c r="L5" s="97">
        <f>+IF('Selector and Force Calculator'!_xlnm.Extract=Sheet1!F5,1,0)</f>
        <v>1</v>
      </c>
      <c r="M5" s="97">
        <f>+IF('Selector and Force Calculator'!$J$11=Sheet1!H5,1,0)</f>
        <v>1</v>
      </c>
      <c r="N5" s="102">
        <f t="shared" si="0"/>
        <v>3</v>
      </c>
      <c r="O5" s="105" t="s">
        <v>16</v>
      </c>
      <c r="P5" s="105">
        <f t="shared" si="1"/>
        <v>1</v>
      </c>
      <c r="Q5" s="105">
        <v>0</v>
      </c>
      <c r="R5" s="104"/>
      <c r="S5" s="105"/>
      <c r="V5" s="106" t="s">
        <v>232</v>
      </c>
    </row>
    <row r="6" spans="1:32" x14ac:dyDescent="0.2">
      <c r="A6" s="47" t="s">
        <v>17</v>
      </c>
      <c r="B6" s="46" t="s">
        <v>18</v>
      </c>
      <c r="C6" s="108" t="s">
        <v>17</v>
      </c>
      <c r="D6" s="102">
        <v>25.999999999999901</v>
      </c>
      <c r="E6" s="97">
        <v>38</v>
      </c>
      <c r="F6" s="101" t="s">
        <v>201</v>
      </c>
      <c r="G6" s="101" t="s">
        <v>204</v>
      </c>
      <c r="H6" s="103" t="s">
        <v>253</v>
      </c>
      <c r="I6" s="103" t="s">
        <v>206</v>
      </c>
      <c r="J6" s="97">
        <f>+IF(AND('Selector and Force Calculator'!$J$8&gt;Sheet1!D6,'Selector and Force Calculator'!$J$8&lt;=Sheet1!E6),1,0)</f>
        <v>0</v>
      </c>
      <c r="K6" s="104">
        <f>+IF('Selector and Force Calculator'!$J$10=Sheet1!G6,1,0)</f>
        <v>0</v>
      </c>
      <c r="L6" s="97">
        <f>+IF('Selector and Force Calculator'!_xlnm.Extract=Sheet1!F6,1,0)</f>
        <v>1</v>
      </c>
      <c r="M6" s="97">
        <f>+IF('Selector and Force Calculator'!$J$11=Sheet1!H6,1,0)</f>
        <v>1</v>
      </c>
      <c r="N6" s="102">
        <f t="shared" si="0"/>
        <v>2</v>
      </c>
      <c r="O6" s="105" t="s">
        <v>18</v>
      </c>
      <c r="P6" s="105">
        <f t="shared" si="1"/>
        <v>1</v>
      </c>
      <c r="Q6" s="105">
        <v>0</v>
      </c>
      <c r="R6" s="104"/>
      <c r="S6" s="105"/>
    </row>
    <row r="7" spans="1:32" x14ac:dyDescent="0.2">
      <c r="A7" s="47" t="s">
        <v>19</v>
      </c>
      <c r="B7" s="46" t="s">
        <v>20</v>
      </c>
      <c r="C7" s="108" t="s">
        <v>19</v>
      </c>
      <c r="D7" s="102">
        <v>25.999999999999901</v>
      </c>
      <c r="E7" s="97">
        <v>38</v>
      </c>
      <c r="F7" s="101" t="s">
        <v>201</v>
      </c>
      <c r="G7" s="101" t="s">
        <v>205</v>
      </c>
      <c r="H7" s="103" t="s">
        <v>253</v>
      </c>
      <c r="I7" s="103" t="s">
        <v>206</v>
      </c>
      <c r="J7" s="97">
        <f>+IF(AND('Selector and Force Calculator'!$J$8&gt;Sheet1!D7,'Selector and Force Calculator'!$J$8&lt;=Sheet1!E7),1,0)</f>
        <v>0</v>
      </c>
      <c r="K7" s="104">
        <f>+IF('Selector and Force Calculator'!$J$10=Sheet1!G7,1,0)</f>
        <v>0</v>
      </c>
      <c r="L7" s="97">
        <f>+IF('Selector and Force Calculator'!_xlnm.Extract=Sheet1!F7,1,0)</f>
        <v>1</v>
      </c>
      <c r="M7" s="97">
        <f>+IF('Selector and Force Calculator'!$J$11=Sheet1!H7,1,0)</f>
        <v>1</v>
      </c>
      <c r="N7" s="102">
        <f t="shared" si="0"/>
        <v>2</v>
      </c>
      <c r="O7" s="105" t="s">
        <v>20</v>
      </c>
      <c r="P7" s="105">
        <f t="shared" si="1"/>
        <v>1</v>
      </c>
      <c r="Q7" s="105">
        <v>0</v>
      </c>
      <c r="R7" s="104"/>
      <c r="S7" s="105"/>
    </row>
    <row r="8" spans="1:32" x14ac:dyDescent="0.2">
      <c r="A8" s="47" t="s">
        <v>21</v>
      </c>
      <c r="B8" s="46" t="s">
        <v>22</v>
      </c>
      <c r="C8" s="108" t="s">
        <v>21</v>
      </c>
      <c r="D8" s="102"/>
      <c r="E8" s="97"/>
      <c r="F8" s="101"/>
      <c r="G8" s="101"/>
      <c r="H8" s="103"/>
      <c r="I8" s="103"/>
      <c r="J8" s="97">
        <f>+IF(AND('Selector and Force Calculator'!$J$8&gt;Sheet1!D8,'Selector and Force Calculator'!$J$8&lt;=Sheet1!E8),1,0)</f>
        <v>0</v>
      </c>
      <c r="K8" s="104">
        <f>+IF('Selector and Force Calculator'!$J$10=Sheet1!G8,1,0)</f>
        <v>0</v>
      </c>
      <c r="L8" s="97">
        <f>+IF('Selector and Force Calculator'!_xlnm.Extract=Sheet1!F8,1,0)</f>
        <v>0</v>
      </c>
      <c r="M8" s="97">
        <f>+IF('Selector and Force Calculator'!$J$11=Sheet1!H8,1,0)</f>
        <v>0</v>
      </c>
      <c r="N8" s="102">
        <f t="shared" si="0"/>
        <v>0</v>
      </c>
      <c r="O8" s="105" t="s">
        <v>22</v>
      </c>
      <c r="P8" s="105">
        <f t="shared" si="1"/>
        <v>0</v>
      </c>
      <c r="Q8" s="105">
        <v>0</v>
      </c>
      <c r="R8" s="104"/>
      <c r="S8" s="105"/>
    </row>
    <row r="9" spans="1:32" x14ac:dyDescent="0.2">
      <c r="A9" s="47" t="s">
        <v>23</v>
      </c>
      <c r="B9" s="46" t="s">
        <v>24</v>
      </c>
      <c r="C9" s="108" t="s">
        <v>23</v>
      </c>
      <c r="D9" s="102"/>
      <c r="E9" s="97"/>
      <c r="F9" s="101"/>
      <c r="G9" s="101"/>
      <c r="H9" s="103"/>
      <c r="I9" s="103"/>
      <c r="J9" s="97">
        <f>+IF(AND('Selector and Force Calculator'!$J$8&gt;Sheet1!D9,'Selector and Force Calculator'!$J$8&lt;=Sheet1!E9),1,0)</f>
        <v>0</v>
      </c>
      <c r="K9" s="104">
        <f>+IF('Selector and Force Calculator'!$J$10=Sheet1!G9,1,0)</f>
        <v>0</v>
      </c>
      <c r="L9" s="97">
        <f>+IF('Selector and Force Calculator'!_xlnm.Extract=Sheet1!F9,1,0)</f>
        <v>0</v>
      </c>
      <c r="M9" s="97">
        <f>+IF('Selector and Force Calculator'!$J$11=Sheet1!H9,1,0)</f>
        <v>0</v>
      </c>
      <c r="N9" s="102">
        <f t="shared" si="0"/>
        <v>0</v>
      </c>
      <c r="O9" s="105" t="s">
        <v>24</v>
      </c>
      <c r="P9" s="105">
        <f t="shared" si="1"/>
        <v>0</v>
      </c>
      <c r="Q9" s="105">
        <v>0</v>
      </c>
      <c r="R9" s="104"/>
      <c r="S9" s="105"/>
    </row>
    <row r="10" spans="1:32" x14ac:dyDescent="0.2">
      <c r="A10" s="47" t="s">
        <v>25</v>
      </c>
      <c r="B10" s="46" t="s">
        <v>26</v>
      </c>
      <c r="C10" s="108" t="s">
        <v>25</v>
      </c>
      <c r="D10" s="102"/>
      <c r="E10" s="97"/>
      <c r="F10" s="101"/>
      <c r="G10" s="101"/>
      <c r="H10" s="103"/>
      <c r="I10" s="103"/>
      <c r="J10" s="97">
        <f>+IF(AND('Selector and Force Calculator'!$J$8&gt;Sheet1!D10,'Selector and Force Calculator'!$J$8&lt;=Sheet1!E10),1,0)</f>
        <v>0</v>
      </c>
      <c r="K10" s="104">
        <f>+IF('Selector and Force Calculator'!$J$10=Sheet1!G10,1,0)</f>
        <v>0</v>
      </c>
      <c r="L10" s="97">
        <f>+IF('Selector and Force Calculator'!_xlnm.Extract=Sheet1!F10,1,0)</f>
        <v>0</v>
      </c>
      <c r="M10" s="97">
        <f>+IF('Selector and Force Calculator'!$J$11=Sheet1!H10,1,0)</f>
        <v>0</v>
      </c>
      <c r="N10" s="102">
        <f t="shared" si="0"/>
        <v>0</v>
      </c>
      <c r="O10" s="105" t="s">
        <v>26</v>
      </c>
      <c r="P10" s="105">
        <f t="shared" si="1"/>
        <v>0</v>
      </c>
      <c r="Q10" s="105">
        <v>0</v>
      </c>
      <c r="R10" s="104"/>
      <c r="S10" s="105"/>
    </row>
    <row r="11" spans="1:32" x14ac:dyDescent="0.2">
      <c r="A11" s="45" t="s">
        <v>27</v>
      </c>
      <c r="B11" s="46" t="s">
        <v>28</v>
      </c>
      <c r="C11" s="101" t="s">
        <v>27</v>
      </c>
      <c r="D11" s="97">
        <v>38</v>
      </c>
      <c r="E11" s="97">
        <v>50</v>
      </c>
      <c r="F11" s="101" t="s">
        <v>201</v>
      </c>
      <c r="G11" s="101" t="s">
        <v>232</v>
      </c>
      <c r="H11" s="103" t="s">
        <v>252</v>
      </c>
      <c r="I11" s="103" t="s">
        <v>207</v>
      </c>
      <c r="J11" s="97">
        <f>+IF(AND('Selector and Force Calculator'!$J$8&gt;Sheet1!D11,'Selector and Force Calculator'!$J$8&lt;=Sheet1!E11),1,0)</f>
        <v>1</v>
      </c>
      <c r="K11" s="104">
        <f>+IF('Selector and Force Calculator'!$J$10=Sheet1!G11,1,0)</f>
        <v>0</v>
      </c>
      <c r="L11" s="97">
        <f>+IF('Selector and Force Calculator'!_xlnm.Extract=Sheet1!F11,1,0)</f>
        <v>1</v>
      </c>
      <c r="M11" s="97">
        <f>+IF('Selector and Force Calculator'!$J$11=Sheet1!H11,1,0)</f>
        <v>0</v>
      </c>
      <c r="N11" s="102">
        <f t="shared" si="0"/>
        <v>2</v>
      </c>
      <c r="O11" s="105" t="s">
        <v>28</v>
      </c>
      <c r="P11" s="105">
        <f t="shared" si="1"/>
        <v>3</v>
      </c>
      <c r="Q11" s="105">
        <v>1</v>
      </c>
      <c r="R11" s="109">
        <v>17340</v>
      </c>
      <c r="S11" s="105"/>
    </row>
    <row r="12" spans="1:32" x14ac:dyDescent="0.2">
      <c r="A12" s="45" t="s">
        <v>29</v>
      </c>
      <c r="B12" s="46" t="s">
        <v>30</v>
      </c>
      <c r="C12" s="101" t="s">
        <v>29</v>
      </c>
      <c r="D12" s="97">
        <v>38</v>
      </c>
      <c r="E12" s="97">
        <v>50</v>
      </c>
      <c r="F12" s="101" t="s">
        <v>201</v>
      </c>
      <c r="G12" s="101" t="s">
        <v>232</v>
      </c>
      <c r="H12" s="103" t="s">
        <v>253</v>
      </c>
      <c r="I12" s="103" t="s">
        <v>207</v>
      </c>
      <c r="J12" s="97">
        <f>+IF(AND('Selector and Force Calculator'!$J$8&gt;Sheet1!D12,'Selector and Force Calculator'!$J$8&lt;=Sheet1!E12),1,0)</f>
        <v>1</v>
      </c>
      <c r="K12" s="104">
        <f>+IF('Selector and Force Calculator'!$J$10=Sheet1!G12,1,0)</f>
        <v>0</v>
      </c>
      <c r="L12" s="97">
        <f>+IF('Selector and Force Calculator'!_xlnm.Extract=Sheet1!F12,1,0)</f>
        <v>1</v>
      </c>
      <c r="M12" s="97">
        <f>+IF('Selector and Force Calculator'!$J$11=Sheet1!H12,1,0)</f>
        <v>1</v>
      </c>
      <c r="N12" s="102">
        <f t="shared" si="0"/>
        <v>3</v>
      </c>
      <c r="O12" s="105" t="s">
        <v>30</v>
      </c>
      <c r="P12" s="105">
        <f t="shared" si="1"/>
        <v>2</v>
      </c>
      <c r="Q12" s="105">
        <v>0</v>
      </c>
      <c r="R12" s="109"/>
      <c r="S12" s="105"/>
    </row>
    <row r="13" spans="1:32" x14ac:dyDescent="0.2">
      <c r="A13" s="47" t="s">
        <v>31</v>
      </c>
      <c r="B13" s="46" t="s">
        <v>32</v>
      </c>
      <c r="C13" s="108" t="s">
        <v>31</v>
      </c>
      <c r="D13" s="97">
        <v>38</v>
      </c>
      <c r="E13" s="97">
        <v>50</v>
      </c>
      <c r="F13" s="101" t="s">
        <v>201</v>
      </c>
      <c r="G13" s="101" t="s">
        <v>208</v>
      </c>
      <c r="H13" s="103" t="s">
        <v>253</v>
      </c>
      <c r="I13" s="103" t="s">
        <v>206</v>
      </c>
      <c r="J13" s="97">
        <f>+IF(AND('Selector and Force Calculator'!$J$8&gt;Sheet1!D13,'Selector and Force Calculator'!$J$8&lt;=Sheet1!E13),1,0)</f>
        <v>1</v>
      </c>
      <c r="K13" s="104">
        <f>+IF('Selector and Force Calculator'!$J$10=Sheet1!G13,1,0)</f>
        <v>1</v>
      </c>
      <c r="L13" s="97">
        <f>+IF('Selector and Force Calculator'!_xlnm.Extract=Sheet1!F13,1,0)</f>
        <v>1</v>
      </c>
      <c r="M13" s="97">
        <f>+IF('Selector and Force Calculator'!$J$11=Sheet1!H13,1,0)</f>
        <v>1</v>
      </c>
      <c r="N13" s="102">
        <f t="shared" si="0"/>
        <v>4</v>
      </c>
      <c r="O13" s="105" t="s">
        <v>32</v>
      </c>
      <c r="P13" s="105">
        <f t="shared" si="1"/>
        <v>2</v>
      </c>
      <c r="Q13" s="105">
        <v>0</v>
      </c>
      <c r="R13" s="109"/>
      <c r="S13" s="105"/>
    </row>
    <row r="14" spans="1:32" x14ac:dyDescent="0.2">
      <c r="A14" s="47" t="s">
        <v>33</v>
      </c>
      <c r="B14" s="46" t="s">
        <v>34</v>
      </c>
      <c r="C14" s="108" t="s">
        <v>33</v>
      </c>
      <c r="D14" s="97">
        <v>38</v>
      </c>
      <c r="E14" s="97">
        <v>50</v>
      </c>
      <c r="F14" s="101" t="s">
        <v>201</v>
      </c>
      <c r="G14" s="101" t="s">
        <v>204</v>
      </c>
      <c r="H14" s="103" t="s">
        <v>253</v>
      </c>
      <c r="I14" s="103" t="s">
        <v>206</v>
      </c>
      <c r="J14" s="97">
        <f>+IF(AND('Selector and Force Calculator'!$J$8&gt;Sheet1!D14,'Selector and Force Calculator'!$J$8&lt;=Sheet1!E14),1,0)</f>
        <v>1</v>
      </c>
      <c r="K14" s="104">
        <f>+IF('Selector and Force Calculator'!$J$10=Sheet1!G14,1,0)</f>
        <v>0</v>
      </c>
      <c r="L14" s="97">
        <f>+IF('Selector and Force Calculator'!_xlnm.Extract=Sheet1!F14,1,0)</f>
        <v>1</v>
      </c>
      <c r="M14" s="97">
        <f>+IF('Selector and Force Calculator'!$J$11=Sheet1!H14,1,0)</f>
        <v>1</v>
      </c>
      <c r="N14" s="102">
        <f t="shared" si="0"/>
        <v>3</v>
      </c>
      <c r="O14" s="105" t="s">
        <v>34</v>
      </c>
      <c r="P14" s="105">
        <f t="shared" si="1"/>
        <v>2</v>
      </c>
      <c r="Q14" s="105">
        <v>0</v>
      </c>
      <c r="R14" s="109"/>
      <c r="S14" s="105"/>
    </row>
    <row r="15" spans="1:32" x14ac:dyDescent="0.2">
      <c r="A15" s="47" t="s">
        <v>35</v>
      </c>
      <c r="B15" s="46" t="s">
        <v>36</v>
      </c>
      <c r="C15" s="108" t="s">
        <v>35</v>
      </c>
      <c r="D15" s="97">
        <v>38</v>
      </c>
      <c r="E15" s="97">
        <v>50</v>
      </c>
      <c r="F15" s="101" t="s">
        <v>201</v>
      </c>
      <c r="G15" s="101" t="s">
        <v>205</v>
      </c>
      <c r="H15" s="103" t="s">
        <v>253</v>
      </c>
      <c r="I15" s="103" t="s">
        <v>206</v>
      </c>
      <c r="J15" s="97">
        <f>+IF(AND('Selector and Force Calculator'!$J$8&gt;Sheet1!D15,'Selector and Force Calculator'!$J$8&lt;=Sheet1!E15),1,0)</f>
        <v>1</v>
      </c>
      <c r="K15" s="104">
        <f>+IF('Selector and Force Calculator'!$J$10=Sheet1!G15,1,0)</f>
        <v>0</v>
      </c>
      <c r="L15" s="97">
        <f>+IF('Selector and Force Calculator'!_xlnm.Extract=Sheet1!F15,1,0)</f>
        <v>1</v>
      </c>
      <c r="M15" s="97">
        <f>+IF('Selector and Force Calculator'!$J$11=Sheet1!H15,1,0)</f>
        <v>1</v>
      </c>
      <c r="N15" s="102">
        <f t="shared" si="0"/>
        <v>3</v>
      </c>
      <c r="O15" s="105" t="s">
        <v>36</v>
      </c>
      <c r="P15" s="105">
        <f t="shared" si="1"/>
        <v>2</v>
      </c>
      <c r="Q15" s="105">
        <v>0</v>
      </c>
      <c r="R15" s="109"/>
      <c r="S15" s="105"/>
    </row>
    <row r="16" spans="1:32" x14ac:dyDescent="0.2">
      <c r="A16" s="47" t="s">
        <v>37</v>
      </c>
      <c r="B16" s="46" t="s">
        <v>38</v>
      </c>
      <c r="C16" s="108" t="s">
        <v>37</v>
      </c>
      <c r="D16" s="97"/>
      <c r="E16" s="97"/>
      <c r="F16" s="101"/>
      <c r="G16" s="101"/>
      <c r="H16" s="103"/>
      <c r="I16" s="103"/>
      <c r="J16" s="97">
        <f>+IF(AND('Selector and Force Calculator'!$J$8&gt;Sheet1!D16,'Selector and Force Calculator'!$J$8&lt;=Sheet1!E16),1,0)</f>
        <v>0</v>
      </c>
      <c r="K16" s="104">
        <f>+IF('Selector and Force Calculator'!$J$10=Sheet1!G16,1,0)</f>
        <v>0</v>
      </c>
      <c r="L16" s="97">
        <f>+IF('Selector and Force Calculator'!_xlnm.Extract=Sheet1!F16,1,0)</f>
        <v>0</v>
      </c>
      <c r="M16" s="97">
        <f>+IF('Selector and Force Calculator'!$J$11=Sheet1!H16,1,0)</f>
        <v>0</v>
      </c>
      <c r="N16" s="102">
        <f t="shared" si="0"/>
        <v>0</v>
      </c>
      <c r="O16" s="105" t="s">
        <v>38</v>
      </c>
      <c r="P16" s="105">
        <f t="shared" si="1"/>
        <v>0</v>
      </c>
      <c r="Q16" s="105">
        <v>0</v>
      </c>
      <c r="R16" s="109"/>
      <c r="S16" s="105"/>
    </row>
    <row r="17" spans="1:19" x14ac:dyDescent="0.2">
      <c r="A17" s="47" t="s">
        <v>39</v>
      </c>
      <c r="B17" s="46" t="s">
        <v>40</v>
      </c>
      <c r="C17" s="108" t="s">
        <v>39</v>
      </c>
      <c r="D17" s="97"/>
      <c r="E17" s="97"/>
      <c r="F17" s="101"/>
      <c r="G17" s="101"/>
      <c r="H17" s="103"/>
      <c r="I17" s="103"/>
      <c r="J17" s="97">
        <f>+IF(AND('Selector and Force Calculator'!$J$8&gt;Sheet1!D17,'Selector and Force Calculator'!$J$8&lt;=Sheet1!E17),1,0)</f>
        <v>0</v>
      </c>
      <c r="K17" s="104">
        <f>+IF('Selector and Force Calculator'!$J$10=Sheet1!G17,1,0)</f>
        <v>0</v>
      </c>
      <c r="L17" s="97">
        <f>+IF('Selector and Force Calculator'!_xlnm.Extract=Sheet1!F17,1,0)</f>
        <v>0</v>
      </c>
      <c r="M17" s="97">
        <f>+IF('Selector and Force Calculator'!$J$11=Sheet1!H17,1,0)</f>
        <v>0</v>
      </c>
      <c r="N17" s="102">
        <f t="shared" si="0"/>
        <v>0</v>
      </c>
      <c r="O17" s="105" t="s">
        <v>40</v>
      </c>
      <c r="P17" s="105">
        <f t="shared" si="1"/>
        <v>0</v>
      </c>
      <c r="Q17" s="105">
        <v>0</v>
      </c>
      <c r="R17" s="109"/>
      <c r="S17" s="105"/>
    </row>
    <row r="18" spans="1:19" x14ac:dyDescent="0.2">
      <c r="A18" s="47" t="s">
        <v>41</v>
      </c>
      <c r="B18" s="46" t="s">
        <v>42</v>
      </c>
      <c r="C18" s="108" t="s">
        <v>41</v>
      </c>
      <c r="D18" s="97"/>
      <c r="E18" s="97"/>
      <c r="F18" s="101"/>
      <c r="G18" s="101"/>
      <c r="H18" s="103"/>
      <c r="I18" s="103"/>
      <c r="J18" s="97">
        <f>+IF(AND('Selector and Force Calculator'!$J$8&gt;Sheet1!D18,'Selector and Force Calculator'!$J$8&lt;=Sheet1!E18),1,0)</f>
        <v>0</v>
      </c>
      <c r="K18" s="104">
        <f>+IF('Selector and Force Calculator'!$J$10=Sheet1!G18,1,0)</f>
        <v>0</v>
      </c>
      <c r="L18" s="97">
        <f>+IF('Selector and Force Calculator'!_xlnm.Extract=Sheet1!F18,1,0)</f>
        <v>0</v>
      </c>
      <c r="M18" s="97">
        <f>+IF('Selector and Force Calculator'!$J$11=Sheet1!H18,1,0)</f>
        <v>0</v>
      </c>
      <c r="N18" s="102">
        <f t="shared" si="0"/>
        <v>0</v>
      </c>
      <c r="O18" s="105" t="s">
        <v>42</v>
      </c>
      <c r="P18" s="105">
        <f t="shared" si="1"/>
        <v>0</v>
      </c>
      <c r="Q18" s="105">
        <v>0</v>
      </c>
      <c r="R18" s="109"/>
      <c r="S18" s="105"/>
    </row>
    <row r="19" spans="1:19" x14ac:dyDescent="0.2">
      <c r="A19" s="45" t="s">
        <v>43</v>
      </c>
      <c r="B19" s="46" t="s">
        <v>44</v>
      </c>
      <c r="C19" s="101" t="s">
        <v>43</v>
      </c>
      <c r="D19" s="97">
        <v>50</v>
      </c>
      <c r="E19" s="97">
        <v>75</v>
      </c>
      <c r="F19" s="101" t="s">
        <v>201</v>
      </c>
      <c r="G19" s="101" t="s">
        <v>232</v>
      </c>
      <c r="H19" s="103" t="s">
        <v>252</v>
      </c>
      <c r="I19" s="103" t="s">
        <v>207</v>
      </c>
      <c r="J19" s="97">
        <f>+IF(AND('Selector and Force Calculator'!$J$8&gt;Sheet1!D19,'Selector and Force Calculator'!$J$8&lt;=Sheet1!E19),1,0)</f>
        <v>0</v>
      </c>
      <c r="K19" s="104">
        <f>+IF('Selector and Force Calculator'!$J$10=Sheet1!G19,1,0)</f>
        <v>0</v>
      </c>
      <c r="L19" s="97">
        <f>+IF('Selector and Force Calculator'!_xlnm.Extract=Sheet1!F19,1,0)</f>
        <v>1</v>
      </c>
      <c r="M19" s="97">
        <f>+IF('Selector and Force Calculator'!$J$11=Sheet1!H19,1,0)</f>
        <v>0</v>
      </c>
      <c r="N19" s="102">
        <f t="shared" si="0"/>
        <v>1</v>
      </c>
      <c r="O19" s="105" t="s">
        <v>44</v>
      </c>
      <c r="P19" s="105">
        <f t="shared" si="1"/>
        <v>2</v>
      </c>
      <c r="Q19" s="105">
        <v>1</v>
      </c>
      <c r="R19" s="109">
        <v>21700</v>
      </c>
      <c r="S19" s="105"/>
    </row>
    <row r="20" spans="1:19" x14ac:dyDescent="0.2">
      <c r="A20" s="45" t="s">
        <v>45</v>
      </c>
      <c r="B20" s="46" t="s">
        <v>46</v>
      </c>
      <c r="C20" s="101" t="s">
        <v>45</v>
      </c>
      <c r="D20" s="97">
        <v>50</v>
      </c>
      <c r="E20" s="97">
        <v>75</v>
      </c>
      <c r="F20" s="101" t="s">
        <v>201</v>
      </c>
      <c r="G20" s="101" t="s">
        <v>232</v>
      </c>
      <c r="H20" s="103" t="s">
        <v>253</v>
      </c>
      <c r="I20" s="103" t="s">
        <v>207</v>
      </c>
      <c r="J20" s="97">
        <f>+IF(AND('Selector and Force Calculator'!$J$8&gt;Sheet1!D20,'Selector and Force Calculator'!$J$8&lt;=Sheet1!E20),1,0)</f>
        <v>0</v>
      </c>
      <c r="K20" s="104">
        <f>+IF('Selector and Force Calculator'!$J$10=Sheet1!G20,1,0)</f>
        <v>0</v>
      </c>
      <c r="L20" s="97">
        <f>+IF('Selector and Force Calculator'!_xlnm.Extract=Sheet1!F20,1,0)</f>
        <v>1</v>
      </c>
      <c r="M20" s="97">
        <f>+IF('Selector and Force Calculator'!$J$11=Sheet1!H20,1,0)</f>
        <v>1</v>
      </c>
      <c r="N20" s="102">
        <f t="shared" si="0"/>
        <v>2</v>
      </c>
      <c r="O20" s="105" t="s">
        <v>46</v>
      </c>
      <c r="P20" s="105">
        <f t="shared" si="1"/>
        <v>1</v>
      </c>
      <c r="Q20" s="105">
        <v>0</v>
      </c>
      <c r="R20" s="109"/>
      <c r="S20" s="105"/>
    </row>
    <row r="21" spans="1:19" x14ac:dyDescent="0.2">
      <c r="A21" s="47" t="s">
        <v>47</v>
      </c>
      <c r="B21" s="46" t="s">
        <v>48</v>
      </c>
      <c r="C21" s="108" t="s">
        <v>47</v>
      </c>
      <c r="D21" s="97">
        <v>50</v>
      </c>
      <c r="E21" s="97">
        <v>75</v>
      </c>
      <c r="F21" s="101" t="s">
        <v>201</v>
      </c>
      <c r="G21" s="101" t="s">
        <v>208</v>
      </c>
      <c r="H21" s="103" t="s">
        <v>253</v>
      </c>
      <c r="I21" s="103" t="s">
        <v>206</v>
      </c>
      <c r="J21" s="97">
        <f>+IF(AND('Selector and Force Calculator'!$J$8&gt;Sheet1!D21,'Selector and Force Calculator'!$J$8&lt;=Sheet1!E21),1,0)</f>
        <v>0</v>
      </c>
      <c r="K21" s="104">
        <f>+IF('Selector and Force Calculator'!$J$10=Sheet1!G21,1,0)</f>
        <v>1</v>
      </c>
      <c r="L21" s="97">
        <f>+IF('Selector and Force Calculator'!_xlnm.Extract=Sheet1!F21,1,0)</f>
        <v>1</v>
      </c>
      <c r="M21" s="97">
        <f>+IF('Selector and Force Calculator'!$J$11=Sheet1!H21,1,0)</f>
        <v>1</v>
      </c>
      <c r="N21" s="102">
        <f t="shared" si="0"/>
        <v>3</v>
      </c>
      <c r="O21" s="105" t="s">
        <v>48</v>
      </c>
      <c r="P21" s="105">
        <f t="shared" si="1"/>
        <v>1</v>
      </c>
      <c r="Q21" s="105">
        <v>0</v>
      </c>
      <c r="R21" s="109"/>
      <c r="S21" s="105"/>
    </row>
    <row r="22" spans="1:19" x14ac:dyDescent="0.2">
      <c r="A22" s="47" t="s">
        <v>49</v>
      </c>
      <c r="B22" s="46" t="s">
        <v>50</v>
      </c>
      <c r="C22" s="108" t="s">
        <v>49</v>
      </c>
      <c r="D22" s="97">
        <v>50</v>
      </c>
      <c r="E22" s="97">
        <v>75</v>
      </c>
      <c r="F22" s="101" t="s">
        <v>201</v>
      </c>
      <c r="G22" s="101" t="s">
        <v>204</v>
      </c>
      <c r="H22" s="103" t="s">
        <v>253</v>
      </c>
      <c r="I22" s="103" t="s">
        <v>206</v>
      </c>
      <c r="J22" s="97">
        <f>+IF(AND('Selector and Force Calculator'!$J$8&gt;Sheet1!D22,'Selector and Force Calculator'!$J$8&lt;=Sheet1!E22),1,0)</f>
        <v>0</v>
      </c>
      <c r="K22" s="104">
        <f>+IF('Selector and Force Calculator'!$J$10=Sheet1!G22,1,0)</f>
        <v>0</v>
      </c>
      <c r="L22" s="97">
        <f>+IF('Selector and Force Calculator'!_xlnm.Extract=Sheet1!F22,1,0)</f>
        <v>1</v>
      </c>
      <c r="M22" s="97">
        <f>+IF('Selector and Force Calculator'!$J$11=Sheet1!H22,1,0)</f>
        <v>1</v>
      </c>
      <c r="N22" s="102">
        <f t="shared" si="0"/>
        <v>2</v>
      </c>
      <c r="O22" s="105" t="s">
        <v>50</v>
      </c>
      <c r="P22" s="105">
        <f t="shared" si="1"/>
        <v>1</v>
      </c>
      <c r="Q22" s="105">
        <v>0</v>
      </c>
      <c r="R22" s="109"/>
      <c r="S22" s="105"/>
    </row>
    <row r="23" spans="1:19" x14ac:dyDescent="0.2">
      <c r="A23" s="47" t="s">
        <v>51</v>
      </c>
      <c r="B23" s="46" t="s">
        <v>52</v>
      </c>
      <c r="C23" s="108" t="s">
        <v>51</v>
      </c>
      <c r="D23" s="97">
        <v>50</v>
      </c>
      <c r="E23" s="97">
        <v>75</v>
      </c>
      <c r="F23" s="101" t="s">
        <v>201</v>
      </c>
      <c r="G23" s="101" t="s">
        <v>205</v>
      </c>
      <c r="H23" s="103" t="s">
        <v>253</v>
      </c>
      <c r="I23" s="103" t="s">
        <v>206</v>
      </c>
      <c r="J23" s="97">
        <f>+IF(AND('Selector and Force Calculator'!$J$8&gt;Sheet1!D23,'Selector and Force Calculator'!$J$8&lt;=Sheet1!E23),1,0)</f>
        <v>0</v>
      </c>
      <c r="K23" s="104">
        <f>+IF('Selector and Force Calculator'!$J$10=Sheet1!G23,1,0)</f>
        <v>0</v>
      </c>
      <c r="L23" s="97">
        <f>+IF('Selector and Force Calculator'!_xlnm.Extract=Sheet1!F23,1,0)</f>
        <v>1</v>
      </c>
      <c r="M23" s="97">
        <f>+IF('Selector and Force Calculator'!$J$11=Sheet1!H23,1,0)</f>
        <v>1</v>
      </c>
      <c r="N23" s="102">
        <f t="shared" si="0"/>
        <v>2</v>
      </c>
      <c r="O23" s="105" t="s">
        <v>52</v>
      </c>
      <c r="P23" s="105">
        <f t="shared" si="1"/>
        <v>1</v>
      </c>
      <c r="Q23" s="105">
        <v>0</v>
      </c>
      <c r="R23" s="109"/>
      <c r="S23" s="105"/>
    </row>
    <row r="24" spans="1:19" x14ac:dyDescent="0.2">
      <c r="A24" s="47" t="s">
        <v>53</v>
      </c>
      <c r="B24" s="46" t="s">
        <v>54</v>
      </c>
      <c r="C24" s="108" t="s">
        <v>53</v>
      </c>
      <c r="D24" s="97"/>
      <c r="E24" s="97"/>
      <c r="F24" s="101"/>
      <c r="G24" s="101"/>
      <c r="H24" s="103"/>
      <c r="I24" s="103"/>
      <c r="J24" s="97">
        <f>+IF(AND('Selector and Force Calculator'!$J$8&gt;Sheet1!D24,'Selector and Force Calculator'!$J$8&lt;=Sheet1!E24),1,0)</f>
        <v>0</v>
      </c>
      <c r="K24" s="104">
        <f>+IF('Selector and Force Calculator'!$J$10=Sheet1!G24,1,0)</f>
        <v>0</v>
      </c>
      <c r="L24" s="97">
        <f>+IF('Selector and Force Calculator'!_xlnm.Extract=Sheet1!F24,1,0)</f>
        <v>0</v>
      </c>
      <c r="M24" s="97">
        <f>+IF('Selector and Force Calculator'!$J$11=Sheet1!H24,1,0)</f>
        <v>0</v>
      </c>
      <c r="N24" s="102">
        <f t="shared" si="0"/>
        <v>0</v>
      </c>
      <c r="O24" s="105" t="s">
        <v>54</v>
      </c>
      <c r="P24" s="105">
        <f t="shared" si="1"/>
        <v>0</v>
      </c>
      <c r="Q24" s="105">
        <v>0</v>
      </c>
      <c r="R24" s="109"/>
      <c r="S24" s="105"/>
    </row>
    <row r="25" spans="1:19" x14ac:dyDescent="0.2">
      <c r="A25" s="47" t="s">
        <v>55</v>
      </c>
      <c r="B25" s="46" t="s">
        <v>56</v>
      </c>
      <c r="C25" s="108" t="s">
        <v>55</v>
      </c>
      <c r="D25" s="97"/>
      <c r="E25" s="97"/>
      <c r="F25" s="101"/>
      <c r="G25" s="101"/>
      <c r="H25" s="103"/>
      <c r="I25" s="103"/>
      <c r="J25" s="97">
        <f>+IF(AND('Selector and Force Calculator'!$J$8&gt;Sheet1!D25,'Selector and Force Calculator'!$J$8&lt;=Sheet1!E25),1,0)</f>
        <v>0</v>
      </c>
      <c r="K25" s="104">
        <f>+IF('Selector and Force Calculator'!$J$10=Sheet1!G25,1,0)</f>
        <v>0</v>
      </c>
      <c r="L25" s="97">
        <f>+IF('Selector and Force Calculator'!_xlnm.Extract=Sheet1!F25,1,0)</f>
        <v>0</v>
      </c>
      <c r="M25" s="97">
        <f>+IF('Selector and Force Calculator'!$J$11=Sheet1!H25,1,0)</f>
        <v>0</v>
      </c>
      <c r="N25" s="102">
        <f t="shared" si="0"/>
        <v>0</v>
      </c>
      <c r="O25" s="105" t="s">
        <v>56</v>
      </c>
      <c r="P25" s="105">
        <f t="shared" si="1"/>
        <v>0</v>
      </c>
      <c r="Q25" s="105">
        <v>0</v>
      </c>
      <c r="R25" s="109"/>
      <c r="S25" s="105"/>
    </row>
    <row r="26" spans="1:19" x14ac:dyDescent="0.2">
      <c r="A26" s="47" t="s">
        <v>57</v>
      </c>
      <c r="B26" s="46" t="s">
        <v>58</v>
      </c>
      <c r="C26" s="108" t="s">
        <v>57</v>
      </c>
      <c r="D26" s="97"/>
      <c r="E26" s="97"/>
      <c r="F26" s="101"/>
      <c r="G26" s="108"/>
      <c r="H26" s="103"/>
      <c r="I26" s="103"/>
      <c r="J26" s="97">
        <f>+IF(AND('Selector and Force Calculator'!$J$8&gt;Sheet1!D26,'Selector and Force Calculator'!$J$8&lt;=Sheet1!E26),1,0)</f>
        <v>0</v>
      </c>
      <c r="K26" s="104">
        <f>+IF('Selector and Force Calculator'!$J$10=Sheet1!G26,1,0)</f>
        <v>0</v>
      </c>
      <c r="L26" s="97">
        <f>+IF('Selector and Force Calculator'!_xlnm.Extract=Sheet1!F26,1,0)</f>
        <v>0</v>
      </c>
      <c r="M26" s="97">
        <f>+IF('Selector and Force Calculator'!$J$11=Sheet1!H26,1,0)</f>
        <v>0</v>
      </c>
      <c r="N26" s="102">
        <f t="shared" si="0"/>
        <v>0</v>
      </c>
      <c r="O26" s="105" t="s">
        <v>58</v>
      </c>
      <c r="P26" s="105">
        <f t="shared" si="1"/>
        <v>0</v>
      </c>
      <c r="Q26" s="105">
        <v>0</v>
      </c>
      <c r="R26" s="109"/>
      <c r="S26" s="105"/>
    </row>
    <row r="27" spans="1:19" x14ac:dyDescent="0.2">
      <c r="A27" s="45" t="s">
        <v>59</v>
      </c>
      <c r="B27" s="46" t="s">
        <v>60</v>
      </c>
      <c r="C27" s="101" t="s">
        <v>59</v>
      </c>
      <c r="D27" s="97">
        <v>75</v>
      </c>
      <c r="E27" s="97">
        <v>100</v>
      </c>
      <c r="F27" s="101" t="s">
        <v>201</v>
      </c>
      <c r="G27" s="101" t="s">
        <v>232</v>
      </c>
      <c r="H27" s="103" t="s">
        <v>252</v>
      </c>
      <c r="I27" s="103" t="s">
        <v>207</v>
      </c>
      <c r="J27" s="97">
        <f>+IF(AND('Selector and Force Calculator'!$J$8&gt;Sheet1!D27,'Selector and Force Calculator'!$J$8&lt;=Sheet1!E27),1,0)</f>
        <v>0</v>
      </c>
      <c r="K27" s="104">
        <f>+IF('Selector and Force Calculator'!$J$10=Sheet1!G27,1,0)</f>
        <v>0</v>
      </c>
      <c r="L27" s="97">
        <f>+IF('Selector and Force Calculator'!_xlnm.Extract=Sheet1!F27,1,0)</f>
        <v>1</v>
      </c>
      <c r="M27" s="97">
        <f>+IF('Selector and Force Calculator'!$J$11=Sheet1!H27,1,0)</f>
        <v>0</v>
      </c>
      <c r="N27" s="102">
        <f t="shared" si="0"/>
        <v>1</v>
      </c>
      <c r="O27" s="105" t="s">
        <v>60</v>
      </c>
      <c r="P27" s="105">
        <f t="shared" si="1"/>
        <v>2</v>
      </c>
      <c r="Q27" s="105">
        <v>1</v>
      </c>
      <c r="R27" s="109">
        <v>28390</v>
      </c>
      <c r="S27" s="105"/>
    </row>
    <row r="28" spans="1:19" x14ac:dyDescent="0.2">
      <c r="A28" s="45" t="s">
        <v>61</v>
      </c>
      <c r="B28" s="46" t="s">
        <v>62</v>
      </c>
      <c r="C28" s="101" t="s">
        <v>61</v>
      </c>
      <c r="D28" s="97">
        <v>75</v>
      </c>
      <c r="E28" s="97">
        <v>100</v>
      </c>
      <c r="F28" s="101" t="s">
        <v>201</v>
      </c>
      <c r="G28" s="101" t="s">
        <v>232</v>
      </c>
      <c r="H28" s="103" t="s">
        <v>253</v>
      </c>
      <c r="I28" s="103" t="s">
        <v>207</v>
      </c>
      <c r="J28" s="97">
        <f>+IF(AND('Selector and Force Calculator'!$J$8&gt;Sheet1!D28,'Selector and Force Calculator'!$J$8&lt;=Sheet1!E28),1,0)</f>
        <v>0</v>
      </c>
      <c r="K28" s="104">
        <f>+IF('Selector and Force Calculator'!$J$10=Sheet1!G28,1,0)</f>
        <v>0</v>
      </c>
      <c r="L28" s="97">
        <f>+IF('Selector and Force Calculator'!_xlnm.Extract=Sheet1!F28,1,0)</f>
        <v>1</v>
      </c>
      <c r="M28" s="97">
        <f>+IF('Selector and Force Calculator'!$J$11=Sheet1!H28,1,0)</f>
        <v>1</v>
      </c>
      <c r="N28" s="102">
        <f t="shared" si="0"/>
        <v>2</v>
      </c>
      <c r="O28" s="105" t="s">
        <v>62</v>
      </c>
      <c r="P28" s="105">
        <f t="shared" si="1"/>
        <v>1</v>
      </c>
      <c r="Q28" s="105">
        <v>0</v>
      </c>
      <c r="R28" s="109"/>
      <c r="S28" s="105"/>
    </row>
    <row r="29" spans="1:19" x14ac:dyDescent="0.2">
      <c r="A29" s="45" t="s">
        <v>63</v>
      </c>
      <c r="B29" s="46" t="s">
        <v>64</v>
      </c>
      <c r="C29" s="101" t="s">
        <v>63</v>
      </c>
      <c r="D29" s="97">
        <v>75</v>
      </c>
      <c r="E29" s="97">
        <v>100</v>
      </c>
      <c r="F29" s="101" t="s">
        <v>201</v>
      </c>
      <c r="G29" s="101" t="s">
        <v>208</v>
      </c>
      <c r="H29" s="103" t="s">
        <v>253</v>
      </c>
      <c r="I29" s="103" t="s">
        <v>206</v>
      </c>
      <c r="J29" s="97">
        <f>+IF(AND('Selector and Force Calculator'!$J$8&gt;Sheet1!D29,'Selector and Force Calculator'!$J$8&lt;=Sheet1!E29),1,0)</f>
        <v>0</v>
      </c>
      <c r="K29" s="104">
        <f>+IF('Selector and Force Calculator'!$J$10=Sheet1!G29,1,0)</f>
        <v>1</v>
      </c>
      <c r="L29" s="97">
        <f>+IF('Selector and Force Calculator'!_xlnm.Extract=Sheet1!F29,1,0)</f>
        <v>1</v>
      </c>
      <c r="M29" s="97">
        <f>+IF('Selector and Force Calculator'!$J$11=Sheet1!H29,1,0)</f>
        <v>1</v>
      </c>
      <c r="N29" s="102">
        <f t="shared" si="0"/>
        <v>3</v>
      </c>
      <c r="O29" s="105" t="s">
        <v>64</v>
      </c>
      <c r="P29" s="105">
        <f t="shared" si="1"/>
        <v>1</v>
      </c>
      <c r="Q29" s="105">
        <v>0</v>
      </c>
      <c r="R29" s="109"/>
      <c r="S29" s="105"/>
    </row>
    <row r="30" spans="1:19" x14ac:dyDescent="0.2">
      <c r="A30" s="45" t="s">
        <v>65</v>
      </c>
      <c r="B30" s="46" t="s">
        <v>66</v>
      </c>
      <c r="C30" s="101" t="s">
        <v>65</v>
      </c>
      <c r="D30" s="97">
        <v>75</v>
      </c>
      <c r="E30" s="97">
        <v>100</v>
      </c>
      <c r="F30" s="101" t="s">
        <v>201</v>
      </c>
      <c r="G30" s="101" t="s">
        <v>204</v>
      </c>
      <c r="H30" s="103" t="s">
        <v>253</v>
      </c>
      <c r="I30" s="103" t="s">
        <v>206</v>
      </c>
      <c r="J30" s="97">
        <f>+IF(AND('Selector and Force Calculator'!$J$8&gt;Sheet1!D30,'Selector and Force Calculator'!$J$8&lt;=Sheet1!E30),1,0)</f>
        <v>0</v>
      </c>
      <c r="K30" s="104">
        <f>+IF('Selector and Force Calculator'!$J$10=Sheet1!G30,1,0)</f>
        <v>0</v>
      </c>
      <c r="L30" s="97">
        <f>+IF('Selector and Force Calculator'!_xlnm.Extract=Sheet1!F30,1,0)</f>
        <v>1</v>
      </c>
      <c r="M30" s="97">
        <f>+IF('Selector and Force Calculator'!$J$11=Sheet1!H30,1,0)</f>
        <v>1</v>
      </c>
      <c r="N30" s="102">
        <f t="shared" si="0"/>
        <v>2</v>
      </c>
      <c r="O30" s="105" t="s">
        <v>66</v>
      </c>
      <c r="P30" s="105">
        <f t="shared" si="1"/>
        <v>1</v>
      </c>
      <c r="Q30" s="105">
        <v>0</v>
      </c>
      <c r="R30" s="109"/>
      <c r="S30" s="105"/>
    </row>
    <row r="31" spans="1:19" x14ac:dyDescent="0.2">
      <c r="A31" s="45" t="s">
        <v>67</v>
      </c>
      <c r="B31" s="46" t="s">
        <v>68</v>
      </c>
      <c r="C31" s="101" t="s">
        <v>67</v>
      </c>
      <c r="D31" s="97">
        <v>75</v>
      </c>
      <c r="E31" s="97">
        <v>100</v>
      </c>
      <c r="F31" s="101" t="s">
        <v>201</v>
      </c>
      <c r="G31" s="101" t="s">
        <v>205</v>
      </c>
      <c r="H31" s="103" t="s">
        <v>253</v>
      </c>
      <c r="I31" s="103" t="s">
        <v>206</v>
      </c>
      <c r="J31" s="97">
        <f>+IF(AND('Selector and Force Calculator'!$J$8&gt;Sheet1!D31,'Selector and Force Calculator'!$J$8&lt;=Sheet1!E31),1,0)</f>
        <v>0</v>
      </c>
      <c r="K31" s="104">
        <f>+IF('Selector and Force Calculator'!$J$10=Sheet1!G31,1,0)</f>
        <v>0</v>
      </c>
      <c r="L31" s="97">
        <f>+IF('Selector and Force Calculator'!_xlnm.Extract=Sheet1!F31,1,0)</f>
        <v>1</v>
      </c>
      <c r="M31" s="97">
        <f>+IF('Selector and Force Calculator'!$J$11=Sheet1!H31,1,0)</f>
        <v>1</v>
      </c>
      <c r="N31" s="102">
        <f t="shared" si="0"/>
        <v>2</v>
      </c>
      <c r="O31" s="105" t="s">
        <v>68</v>
      </c>
      <c r="P31" s="105">
        <f t="shared" si="1"/>
        <v>1</v>
      </c>
      <c r="Q31" s="105">
        <v>0</v>
      </c>
      <c r="R31" s="109"/>
      <c r="S31" s="105"/>
    </row>
    <row r="32" spans="1:19" x14ac:dyDescent="0.2">
      <c r="A32" s="47" t="s">
        <v>69</v>
      </c>
      <c r="B32" s="46" t="s">
        <v>70</v>
      </c>
      <c r="C32" s="108" t="s">
        <v>69</v>
      </c>
      <c r="D32" s="97"/>
      <c r="E32" s="97"/>
      <c r="F32" s="101"/>
      <c r="G32" s="108"/>
      <c r="H32" s="103"/>
      <c r="I32" s="103"/>
      <c r="J32" s="97">
        <f>+IF(AND('Selector and Force Calculator'!$J$8&gt;Sheet1!D32,'Selector and Force Calculator'!$J$8&lt;=Sheet1!E32),1,0)</f>
        <v>0</v>
      </c>
      <c r="K32" s="104">
        <f>+IF('Selector and Force Calculator'!$J$10=Sheet1!G32,1,0)</f>
        <v>0</v>
      </c>
      <c r="L32" s="97">
        <f>+IF('Selector and Force Calculator'!_xlnm.Extract=Sheet1!F32,1,0)</f>
        <v>0</v>
      </c>
      <c r="M32" s="97">
        <f>+IF('Selector and Force Calculator'!$J$11=Sheet1!H32,1,0)</f>
        <v>0</v>
      </c>
      <c r="N32" s="102">
        <f t="shared" si="0"/>
        <v>0</v>
      </c>
      <c r="O32" s="105" t="s">
        <v>70</v>
      </c>
      <c r="P32" s="105">
        <f t="shared" si="1"/>
        <v>0</v>
      </c>
      <c r="Q32" s="105">
        <v>0</v>
      </c>
      <c r="R32" s="109"/>
      <c r="S32" s="105"/>
    </row>
    <row r="33" spans="1:19" x14ac:dyDescent="0.2">
      <c r="A33" s="47" t="s">
        <v>71</v>
      </c>
      <c r="B33" s="46" t="s">
        <v>72</v>
      </c>
      <c r="C33" s="108" t="s">
        <v>71</v>
      </c>
      <c r="D33" s="97"/>
      <c r="E33" s="97"/>
      <c r="F33" s="101"/>
      <c r="G33" s="101"/>
      <c r="H33" s="103"/>
      <c r="I33" s="103"/>
      <c r="J33" s="97">
        <f>+IF(AND('Selector and Force Calculator'!$J$8&gt;Sheet1!D33,'Selector and Force Calculator'!$J$8&lt;=Sheet1!E33),1,0)</f>
        <v>0</v>
      </c>
      <c r="K33" s="104">
        <f>+IF('Selector and Force Calculator'!$J$10=Sheet1!G33,1,0)</f>
        <v>0</v>
      </c>
      <c r="L33" s="97">
        <f>+IF('Selector and Force Calculator'!_xlnm.Extract=Sheet1!F33,1,0)</f>
        <v>0</v>
      </c>
      <c r="M33" s="97">
        <f>+IF('Selector and Force Calculator'!$J$11=Sheet1!H33,1,0)</f>
        <v>0</v>
      </c>
      <c r="N33" s="102">
        <f t="shared" si="0"/>
        <v>0</v>
      </c>
      <c r="O33" s="105" t="s">
        <v>72</v>
      </c>
      <c r="P33" s="105">
        <f t="shared" si="1"/>
        <v>0</v>
      </c>
      <c r="Q33" s="105">
        <v>0</v>
      </c>
      <c r="R33" s="109"/>
      <c r="S33" s="105"/>
    </row>
    <row r="34" spans="1:19" x14ac:dyDescent="0.2">
      <c r="A34" s="47" t="s">
        <v>73</v>
      </c>
      <c r="B34" s="48" t="s">
        <v>74</v>
      </c>
      <c r="C34" s="108" t="s">
        <v>73</v>
      </c>
      <c r="D34" s="97">
        <v>100</v>
      </c>
      <c r="E34" s="97">
        <v>135.00000000009999</v>
      </c>
      <c r="F34" s="101" t="s">
        <v>201</v>
      </c>
      <c r="G34" s="101" t="s">
        <v>232</v>
      </c>
      <c r="H34" s="103" t="s">
        <v>252</v>
      </c>
      <c r="I34" s="103" t="s">
        <v>207</v>
      </c>
      <c r="J34" s="97">
        <f>+IF(AND('Selector and Force Calculator'!$J$8&gt;Sheet1!D34,'Selector and Force Calculator'!$J$8&lt;=Sheet1!E34),1,0)</f>
        <v>0</v>
      </c>
      <c r="K34" s="104">
        <f>+IF('Selector and Force Calculator'!$J$10=Sheet1!G34,1,0)</f>
        <v>0</v>
      </c>
      <c r="L34" s="97">
        <f>+IF('Selector and Force Calculator'!_xlnm.Extract=Sheet1!F34,1,0)</f>
        <v>1</v>
      </c>
      <c r="M34" s="97">
        <f>+IF('Selector and Force Calculator'!$J$11=Sheet1!H34,1,0)</f>
        <v>0</v>
      </c>
      <c r="N34" s="102">
        <f t="shared" si="0"/>
        <v>1</v>
      </c>
      <c r="O34" s="105" t="s">
        <v>74</v>
      </c>
      <c r="P34" s="105">
        <f t="shared" si="1"/>
        <v>2</v>
      </c>
      <c r="Q34" s="105">
        <v>1</v>
      </c>
      <c r="R34" s="109">
        <v>31510</v>
      </c>
      <c r="S34" s="105"/>
    </row>
    <row r="35" spans="1:19" x14ac:dyDescent="0.2">
      <c r="A35" s="47" t="s">
        <v>75</v>
      </c>
      <c r="B35" s="48" t="s">
        <v>76</v>
      </c>
      <c r="C35" s="108" t="s">
        <v>75</v>
      </c>
      <c r="D35" s="97">
        <v>100</v>
      </c>
      <c r="E35" s="97">
        <v>135.00000000009999</v>
      </c>
      <c r="F35" s="101" t="s">
        <v>201</v>
      </c>
      <c r="G35" s="101" t="s">
        <v>232</v>
      </c>
      <c r="H35" s="103" t="s">
        <v>253</v>
      </c>
      <c r="I35" s="103" t="s">
        <v>207</v>
      </c>
      <c r="J35" s="97">
        <f>+IF(AND('Selector and Force Calculator'!$J$8&gt;Sheet1!D35,'Selector and Force Calculator'!$J$8&lt;=Sheet1!E35),1,0)</f>
        <v>0</v>
      </c>
      <c r="K35" s="104">
        <f>+IF('Selector and Force Calculator'!$J$10=Sheet1!G35,1,0)</f>
        <v>0</v>
      </c>
      <c r="L35" s="97">
        <f>+IF('Selector and Force Calculator'!_xlnm.Extract=Sheet1!F35,1,0)</f>
        <v>1</v>
      </c>
      <c r="M35" s="97">
        <f>+IF('Selector and Force Calculator'!$J$11=Sheet1!H35,1,0)</f>
        <v>1</v>
      </c>
      <c r="N35" s="102">
        <f t="shared" si="0"/>
        <v>2</v>
      </c>
      <c r="O35" s="105" t="s">
        <v>76</v>
      </c>
      <c r="P35" s="105">
        <f t="shared" si="1"/>
        <v>1</v>
      </c>
      <c r="Q35" s="105">
        <v>0</v>
      </c>
      <c r="R35" s="109"/>
      <c r="S35" s="105"/>
    </row>
    <row r="36" spans="1:19" x14ac:dyDescent="0.2">
      <c r="A36" s="47" t="s">
        <v>77</v>
      </c>
      <c r="B36" s="48" t="s">
        <v>78</v>
      </c>
      <c r="C36" s="108" t="s">
        <v>77</v>
      </c>
      <c r="D36" s="97">
        <v>100</v>
      </c>
      <c r="E36" s="97">
        <v>135.00000000009999</v>
      </c>
      <c r="F36" s="101" t="s">
        <v>201</v>
      </c>
      <c r="G36" s="101" t="s">
        <v>208</v>
      </c>
      <c r="H36" s="103" t="s">
        <v>253</v>
      </c>
      <c r="I36" s="103" t="s">
        <v>206</v>
      </c>
      <c r="J36" s="97">
        <f>+IF(AND('Selector and Force Calculator'!$J$8&gt;Sheet1!D36,'Selector and Force Calculator'!$J$8&lt;=Sheet1!E36),1,0)</f>
        <v>0</v>
      </c>
      <c r="K36" s="104">
        <f>+IF('Selector and Force Calculator'!$J$10=Sheet1!G36,1,0)</f>
        <v>1</v>
      </c>
      <c r="L36" s="97">
        <f>+IF('Selector and Force Calculator'!_xlnm.Extract=Sheet1!F36,1,0)</f>
        <v>1</v>
      </c>
      <c r="M36" s="97">
        <f>+IF('Selector and Force Calculator'!$J$11=Sheet1!H36,1,0)</f>
        <v>1</v>
      </c>
      <c r="N36" s="102">
        <f t="shared" si="0"/>
        <v>3</v>
      </c>
      <c r="O36" s="105" t="s">
        <v>78</v>
      </c>
      <c r="P36" s="105">
        <f t="shared" si="1"/>
        <v>1</v>
      </c>
      <c r="Q36" s="105">
        <v>0</v>
      </c>
      <c r="R36" s="109"/>
      <c r="S36" s="105"/>
    </row>
    <row r="37" spans="1:19" x14ac:dyDescent="0.2">
      <c r="A37" s="47" t="s">
        <v>79</v>
      </c>
      <c r="B37" s="48" t="s">
        <v>80</v>
      </c>
      <c r="C37" s="108" t="s">
        <v>79</v>
      </c>
      <c r="D37" s="97">
        <v>100</v>
      </c>
      <c r="E37" s="97">
        <v>135.00000000009999</v>
      </c>
      <c r="F37" s="101" t="s">
        <v>201</v>
      </c>
      <c r="G37" s="101" t="s">
        <v>204</v>
      </c>
      <c r="H37" s="103" t="s">
        <v>253</v>
      </c>
      <c r="I37" s="103" t="s">
        <v>206</v>
      </c>
      <c r="J37" s="97">
        <f>+IF(AND('Selector and Force Calculator'!$J$8&gt;Sheet1!D37,'Selector and Force Calculator'!$J$8&lt;=Sheet1!E37),1,0)</f>
        <v>0</v>
      </c>
      <c r="K37" s="104">
        <f>+IF('Selector and Force Calculator'!$J$10=Sheet1!G37,1,0)</f>
        <v>0</v>
      </c>
      <c r="L37" s="97">
        <f>+IF('Selector and Force Calculator'!_xlnm.Extract=Sheet1!F37,1,0)</f>
        <v>1</v>
      </c>
      <c r="M37" s="97">
        <f>+IF('Selector and Force Calculator'!$J$11=Sheet1!H37,1,0)</f>
        <v>1</v>
      </c>
      <c r="N37" s="102">
        <f t="shared" si="0"/>
        <v>2</v>
      </c>
      <c r="O37" s="105" t="s">
        <v>80</v>
      </c>
      <c r="P37" s="105">
        <f t="shared" si="1"/>
        <v>1</v>
      </c>
      <c r="Q37" s="105">
        <v>0</v>
      </c>
      <c r="R37" s="109"/>
      <c r="S37" s="105"/>
    </row>
    <row r="38" spans="1:19" x14ac:dyDescent="0.2">
      <c r="A38" s="47" t="s">
        <v>81</v>
      </c>
      <c r="B38" s="48" t="s">
        <v>82</v>
      </c>
      <c r="C38" s="108" t="s">
        <v>81</v>
      </c>
      <c r="D38" s="97">
        <v>100</v>
      </c>
      <c r="E38" s="97">
        <v>135.00000000009999</v>
      </c>
      <c r="F38" s="101" t="s">
        <v>201</v>
      </c>
      <c r="G38" s="101" t="s">
        <v>205</v>
      </c>
      <c r="H38" s="103" t="s">
        <v>253</v>
      </c>
      <c r="I38" s="103" t="s">
        <v>206</v>
      </c>
      <c r="J38" s="97">
        <f>+IF(AND('Selector and Force Calculator'!$J$8&gt;Sheet1!D38,'Selector and Force Calculator'!$J$8&lt;=Sheet1!E38),1,0)</f>
        <v>0</v>
      </c>
      <c r="K38" s="104">
        <f>+IF('Selector and Force Calculator'!$J$10=Sheet1!G38,1,0)</f>
        <v>0</v>
      </c>
      <c r="L38" s="97">
        <f>+IF('Selector and Force Calculator'!_xlnm.Extract=Sheet1!F38,1,0)</f>
        <v>1</v>
      </c>
      <c r="M38" s="97">
        <f>+IF('Selector and Force Calculator'!$J$11=Sheet1!H38,1,0)</f>
        <v>1</v>
      </c>
      <c r="N38" s="102">
        <f t="shared" si="0"/>
        <v>2</v>
      </c>
      <c r="O38" s="105" t="s">
        <v>82</v>
      </c>
      <c r="P38" s="105">
        <f t="shared" si="1"/>
        <v>1</v>
      </c>
      <c r="Q38" s="105">
        <v>0</v>
      </c>
      <c r="R38" s="109"/>
      <c r="S38" s="105"/>
    </row>
    <row r="39" spans="1:19" x14ac:dyDescent="0.2">
      <c r="A39" s="47" t="s">
        <v>83</v>
      </c>
      <c r="B39" s="46" t="s">
        <v>84</v>
      </c>
      <c r="C39" s="108" t="s">
        <v>83</v>
      </c>
      <c r="D39" s="97"/>
      <c r="E39" s="97"/>
      <c r="F39" s="101"/>
      <c r="G39" s="101"/>
      <c r="H39" s="103"/>
      <c r="I39" s="103"/>
      <c r="J39" s="97">
        <f>+IF(AND('Selector and Force Calculator'!$J$8&gt;Sheet1!D39,'Selector and Force Calculator'!$J$8&lt;=Sheet1!E39),1,0)</f>
        <v>0</v>
      </c>
      <c r="K39" s="104">
        <f>+IF('Selector and Force Calculator'!$J$10=Sheet1!G39,1,0)</f>
        <v>0</v>
      </c>
      <c r="L39" s="97">
        <f>+IF('Selector and Force Calculator'!_xlnm.Extract=Sheet1!F39,1,0)</f>
        <v>0</v>
      </c>
      <c r="M39" s="97">
        <f>+IF('Selector and Force Calculator'!$J$11=Sheet1!H39,1,0)</f>
        <v>0</v>
      </c>
      <c r="N39" s="102">
        <f t="shared" si="0"/>
        <v>0</v>
      </c>
      <c r="O39" s="105" t="s">
        <v>84</v>
      </c>
      <c r="P39" s="105">
        <f t="shared" si="1"/>
        <v>0</v>
      </c>
      <c r="Q39" s="105">
        <v>0</v>
      </c>
      <c r="R39" s="109"/>
      <c r="S39" s="105"/>
    </row>
    <row r="40" spans="1:19" x14ac:dyDescent="0.2">
      <c r="A40" s="47" t="s">
        <v>85</v>
      </c>
      <c r="B40" s="46" t="s">
        <v>86</v>
      </c>
      <c r="C40" s="108" t="s">
        <v>85</v>
      </c>
      <c r="D40" s="97"/>
      <c r="E40" s="97"/>
      <c r="F40" s="101"/>
      <c r="G40" s="101"/>
      <c r="H40" s="103"/>
      <c r="I40" s="103"/>
      <c r="J40" s="97">
        <f>+IF(AND('Selector and Force Calculator'!$J$8&gt;Sheet1!D40,'Selector and Force Calculator'!$J$8&lt;=Sheet1!E40),1,0)</f>
        <v>0</v>
      </c>
      <c r="K40" s="104">
        <f>+IF('Selector and Force Calculator'!$J$10=Sheet1!G40,1,0)</f>
        <v>0</v>
      </c>
      <c r="L40" s="97">
        <f>+IF('Selector and Force Calculator'!_xlnm.Extract=Sheet1!F40,1,0)</f>
        <v>0</v>
      </c>
      <c r="M40" s="97">
        <f>+IF('Selector and Force Calculator'!$J$11=Sheet1!H40,1,0)</f>
        <v>0</v>
      </c>
      <c r="N40" s="102">
        <f t="shared" si="0"/>
        <v>0</v>
      </c>
      <c r="O40" s="105" t="s">
        <v>86</v>
      </c>
      <c r="P40" s="105">
        <f t="shared" si="1"/>
        <v>0</v>
      </c>
      <c r="Q40" s="105">
        <v>0</v>
      </c>
      <c r="R40" s="109"/>
      <c r="S40" s="105"/>
    </row>
    <row r="41" spans="1:19" x14ac:dyDescent="0.2">
      <c r="A41" s="45" t="s">
        <v>87</v>
      </c>
      <c r="B41" s="46" t="s">
        <v>88</v>
      </c>
      <c r="C41" s="101" t="s">
        <v>87</v>
      </c>
      <c r="D41" s="97">
        <v>25.999999999</v>
      </c>
      <c r="E41" s="97">
        <v>38</v>
      </c>
      <c r="F41" s="101" t="s">
        <v>202</v>
      </c>
      <c r="G41" s="101" t="s">
        <v>232</v>
      </c>
      <c r="H41" s="103" t="s">
        <v>252</v>
      </c>
      <c r="I41" s="103" t="s">
        <v>207</v>
      </c>
      <c r="J41" s="97">
        <f>+IF(AND('Selector and Force Calculator'!$J$8&gt;Sheet1!D41,'Selector and Force Calculator'!$J$8&lt;=Sheet1!E41),1,0)</f>
        <v>0</v>
      </c>
      <c r="K41" s="104">
        <f>+IF('Selector and Force Calculator'!$J$10=Sheet1!G41,1,0)</f>
        <v>0</v>
      </c>
      <c r="L41" s="97">
        <f>+IF('Selector and Force Calculator'!_xlnm.Extract=Sheet1!F41,1,0)</f>
        <v>0</v>
      </c>
      <c r="M41" s="97">
        <f>+IF('Selector and Force Calculator'!$J$11=Sheet1!H41,1,0)</f>
        <v>0</v>
      </c>
      <c r="N41" s="102">
        <f t="shared" si="0"/>
        <v>0</v>
      </c>
      <c r="O41" s="105" t="s">
        <v>88</v>
      </c>
      <c r="P41" s="105">
        <f t="shared" si="1"/>
        <v>1</v>
      </c>
      <c r="Q41" s="105">
        <v>1</v>
      </c>
      <c r="R41" s="109">
        <v>25380</v>
      </c>
      <c r="S41" s="105"/>
    </row>
    <row r="42" spans="1:19" x14ac:dyDescent="0.2">
      <c r="A42" s="45" t="s">
        <v>89</v>
      </c>
      <c r="B42" s="46" t="s">
        <v>90</v>
      </c>
      <c r="C42" s="101" t="s">
        <v>89</v>
      </c>
      <c r="D42" s="97">
        <v>25.999999999</v>
      </c>
      <c r="E42" s="97">
        <v>38</v>
      </c>
      <c r="F42" s="101" t="s">
        <v>202</v>
      </c>
      <c r="G42" s="101" t="s">
        <v>232</v>
      </c>
      <c r="H42" s="103" t="s">
        <v>253</v>
      </c>
      <c r="I42" s="103" t="s">
        <v>207</v>
      </c>
      <c r="J42" s="97">
        <f>+IF(AND('Selector and Force Calculator'!$J$8&gt;Sheet1!D42,'Selector and Force Calculator'!$J$8&lt;=Sheet1!E42),1,0)</f>
        <v>0</v>
      </c>
      <c r="K42" s="104">
        <f>+IF('Selector and Force Calculator'!$J$10=Sheet1!G42,1,0)</f>
        <v>0</v>
      </c>
      <c r="L42" s="97">
        <f>+IF('Selector and Force Calculator'!_xlnm.Extract=Sheet1!F42,1,0)</f>
        <v>0</v>
      </c>
      <c r="M42" s="97">
        <f>+IF('Selector and Force Calculator'!$J$11=Sheet1!H42,1,0)</f>
        <v>1</v>
      </c>
      <c r="N42" s="102">
        <f t="shared" si="0"/>
        <v>1</v>
      </c>
      <c r="O42" s="105" t="s">
        <v>90</v>
      </c>
      <c r="P42" s="105">
        <f t="shared" si="1"/>
        <v>0</v>
      </c>
      <c r="Q42" s="105">
        <v>0</v>
      </c>
      <c r="R42" s="109"/>
      <c r="S42" s="105"/>
    </row>
    <row r="43" spans="1:19" x14ac:dyDescent="0.2">
      <c r="A43" s="47" t="s">
        <v>91</v>
      </c>
      <c r="B43" s="46" t="s">
        <v>92</v>
      </c>
      <c r="C43" s="108" t="s">
        <v>91</v>
      </c>
      <c r="D43" s="97"/>
      <c r="E43" s="97"/>
      <c r="F43" s="101"/>
      <c r="G43" s="108"/>
      <c r="H43" s="103"/>
      <c r="I43" s="103"/>
      <c r="J43" s="97">
        <f>+IF(AND('Selector and Force Calculator'!$J$8&gt;Sheet1!D43,'Selector and Force Calculator'!$J$8&lt;=Sheet1!E43),1,0)</f>
        <v>0</v>
      </c>
      <c r="K43" s="104">
        <f>+IF('Selector and Force Calculator'!$J$10=Sheet1!G43,1,0)</f>
        <v>0</v>
      </c>
      <c r="L43" s="97">
        <f>+IF('Selector and Force Calculator'!_xlnm.Extract=Sheet1!F43,1,0)</f>
        <v>0</v>
      </c>
      <c r="M43" s="97">
        <f>+IF('Selector and Force Calculator'!$J$11=Sheet1!H43,1,0)</f>
        <v>0</v>
      </c>
      <c r="N43" s="102">
        <f t="shared" si="0"/>
        <v>0</v>
      </c>
      <c r="O43" s="105" t="s">
        <v>92</v>
      </c>
      <c r="P43" s="105">
        <f t="shared" si="1"/>
        <v>0</v>
      </c>
      <c r="Q43" s="105">
        <v>0</v>
      </c>
      <c r="R43" s="109"/>
      <c r="S43" s="105"/>
    </row>
    <row r="44" spans="1:19" x14ac:dyDescent="0.2">
      <c r="A44" s="47" t="s">
        <v>93</v>
      </c>
      <c r="B44" s="46" t="s">
        <v>94</v>
      </c>
      <c r="C44" s="108" t="s">
        <v>93</v>
      </c>
      <c r="D44" s="97">
        <v>25.999999999</v>
      </c>
      <c r="E44" s="97">
        <v>38</v>
      </c>
      <c r="F44" s="101" t="s">
        <v>202</v>
      </c>
      <c r="G44" s="101" t="s">
        <v>208</v>
      </c>
      <c r="H44" s="103" t="s">
        <v>253</v>
      </c>
      <c r="I44" s="103" t="s">
        <v>206</v>
      </c>
      <c r="J44" s="97">
        <f>+IF(AND('Selector and Force Calculator'!$J$8&gt;Sheet1!D44,'Selector and Force Calculator'!$J$8&lt;=Sheet1!E44),1,0)</f>
        <v>0</v>
      </c>
      <c r="K44" s="104">
        <f>+IF('Selector and Force Calculator'!$J$10=Sheet1!G44,1,0)</f>
        <v>1</v>
      </c>
      <c r="L44" s="97">
        <f>+IF('Selector and Force Calculator'!_xlnm.Extract=Sheet1!F44,1,0)</f>
        <v>0</v>
      </c>
      <c r="M44" s="97">
        <f>+IF('Selector and Force Calculator'!$J$11=Sheet1!H44,1,0)</f>
        <v>1</v>
      </c>
      <c r="N44" s="102">
        <f t="shared" si="0"/>
        <v>2</v>
      </c>
      <c r="O44" s="105" t="s">
        <v>94</v>
      </c>
      <c r="P44" s="105">
        <f t="shared" si="1"/>
        <v>0</v>
      </c>
      <c r="Q44" s="105">
        <v>0</v>
      </c>
      <c r="R44" s="109"/>
      <c r="S44" s="105"/>
    </row>
    <row r="45" spans="1:19" x14ac:dyDescent="0.2">
      <c r="A45" s="47" t="s">
        <v>95</v>
      </c>
      <c r="B45" s="46" t="s">
        <v>96</v>
      </c>
      <c r="C45" s="108" t="s">
        <v>95</v>
      </c>
      <c r="D45" s="97">
        <v>25.999999999</v>
      </c>
      <c r="E45" s="97">
        <v>38</v>
      </c>
      <c r="F45" s="101" t="s">
        <v>202</v>
      </c>
      <c r="G45" s="101" t="s">
        <v>204</v>
      </c>
      <c r="H45" s="103" t="s">
        <v>253</v>
      </c>
      <c r="I45" s="103" t="s">
        <v>206</v>
      </c>
      <c r="J45" s="97">
        <f>+IF(AND('Selector and Force Calculator'!$J$8&gt;Sheet1!D45,'Selector and Force Calculator'!$J$8&lt;=Sheet1!E45),1,0)</f>
        <v>0</v>
      </c>
      <c r="K45" s="104">
        <f>+IF('Selector and Force Calculator'!$J$10=Sheet1!G45,1,0)</f>
        <v>0</v>
      </c>
      <c r="L45" s="97">
        <f>+IF('Selector and Force Calculator'!_xlnm.Extract=Sheet1!F45,1,0)</f>
        <v>0</v>
      </c>
      <c r="M45" s="97">
        <f>+IF('Selector and Force Calculator'!$J$11=Sheet1!H45,1,0)</f>
        <v>1</v>
      </c>
      <c r="N45" s="102">
        <f t="shared" si="0"/>
        <v>1</v>
      </c>
      <c r="O45" s="105" t="s">
        <v>96</v>
      </c>
      <c r="P45" s="105">
        <f t="shared" si="1"/>
        <v>0</v>
      </c>
      <c r="Q45" s="105">
        <v>0</v>
      </c>
      <c r="R45" s="109"/>
      <c r="S45" s="105"/>
    </row>
    <row r="46" spans="1:19" x14ac:dyDescent="0.2">
      <c r="A46" s="47" t="s">
        <v>97</v>
      </c>
      <c r="B46" s="46" t="s">
        <v>98</v>
      </c>
      <c r="C46" s="108" t="s">
        <v>97</v>
      </c>
      <c r="D46" s="97">
        <v>25.999999999</v>
      </c>
      <c r="E46" s="97">
        <v>38</v>
      </c>
      <c r="F46" s="101" t="s">
        <v>202</v>
      </c>
      <c r="G46" s="101" t="s">
        <v>205</v>
      </c>
      <c r="H46" s="103" t="s">
        <v>253</v>
      </c>
      <c r="I46" s="103" t="s">
        <v>206</v>
      </c>
      <c r="J46" s="97">
        <f>+IF(AND('Selector and Force Calculator'!$J$8&gt;Sheet1!D46,'Selector and Force Calculator'!$J$8&lt;=Sheet1!E46),1,0)</f>
        <v>0</v>
      </c>
      <c r="K46" s="104">
        <f>+IF('Selector and Force Calculator'!$J$10=Sheet1!G46,1,0)</f>
        <v>0</v>
      </c>
      <c r="L46" s="97">
        <f>+IF('Selector and Force Calculator'!_xlnm.Extract=Sheet1!F46,1,0)</f>
        <v>0</v>
      </c>
      <c r="M46" s="97">
        <f>+IF('Selector and Force Calculator'!$J$11=Sheet1!H46,1,0)</f>
        <v>1</v>
      </c>
      <c r="N46" s="102">
        <f t="shared" si="0"/>
        <v>1</v>
      </c>
      <c r="O46" s="105" t="s">
        <v>98</v>
      </c>
      <c r="P46" s="105">
        <f t="shared" si="1"/>
        <v>0</v>
      </c>
      <c r="Q46" s="105">
        <v>0</v>
      </c>
      <c r="R46" s="109"/>
      <c r="S46" s="105"/>
    </row>
    <row r="47" spans="1:19" x14ac:dyDescent="0.2">
      <c r="A47" s="47" t="s">
        <v>99</v>
      </c>
      <c r="B47" s="46" t="s">
        <v>100</v>
      </c>
      <c r="C47" s="108" t="s">
        <v>99</v>
      </c>
      <c r="D47" s="97"/>
      <c r="E47" s="97"/>
      <c r="F47" s="101"/>
      <c r="G47" s="101"/>
      <c r="H47" s="103"/>
      <c r="I47" s="103"/>
      <c r="J47" s="97">
        <f>+IF(AND('Selector and Force Calculator'!$J$8&gt;Sheet1!D47,'Selector and Force Calculator'!$J$8&lt;=Sheet1!E47),1,0)</f>
        <v>0</v>
      </c>
      <c r="K47" s="104">
        <f>+IF('Selector and Force Calculator'!$J$10=Sheet1!G47,1,0)</f>
        <v>0</v>
      </c>
      <c r="L47" s="97">
        <f>+IF('Selector and Force Calculator'!_xlnm.Extract=Sheet1!F47,1,0)</f>
        <v>0</v>
      </c>
      <c r="M47" s="97">
        <f>+IF('Selector and Force Calculator'!$J$11=Sheet1!H47,1,0)</f>
        <v>0</v>
      </c>
      <c r="N47" s="102">
        <f t="shared" si="0"/>
        <v>0</v>
      </c>
      <c r="O47" s="105" t="s">
        <v>100</v>
      </c>
      <c r="P47" s="105">
        <f t="shared" si="1"/>
        <v>0</v>
      </c>
      <c r="Q47" s="105">
        <v>0</v>
      </c>
      <c r="R47" s="109"/>
      <c r="S47" s="105"/>
    </row>
    <row r="48" spans="1:19" x14ac:dyDescent="0.2">
      <c r="A48" s="47" t="s">
        <v>101</v>
      </c>
      <c r="B48" s="46" t="s">
        <v>102</v>
      </c>
      <c r="C48" s="108" t="s">
        <v>101</v>
      </c>
      <c r="D48" s="97"/>
      <c r="E48" s="97"/>
      <c r="F48" s="101"/>
      <c r="G48" s="101"/>
      <c r="H48" s="103"/>
      <c r="I48" s="103"/>
      <c r="J48" s="97">
        <f>+IF(AND('Selector and Force Calculator'!$J$8&gt;Sheet1!D48,'Selector and Force Calculator'!$J$8&lt;=Sheet1!E48),1,0)</f>
        <v>0</v>
      </c>
      <c r="K48" s="104">
        <f>+IF('Selector and Force Calculator'!$J$10=Sheet1!G48,1,0)</f>
        <v>0</v>
      </c>
      <c r="L48" s="97">
        <f>+IF('Selector and Force Calculator'!_xlnm.Extract=Sheet1!F48,1,0)</f>
        <v>0</v>
      </c>
      <c r="M48" s="97">
        <f>+IF('Selector and Force Calculator'!$J$11=Sheet1!H48,1,0)</f>
        <v>0</v>
      </c>
      <c r="N48" s="102">
        <f t="shared" si="0"/>
        <v>0</v>
      </c>
      <c r="O48" s="105" t="s">
        <v>102</v>
      </c>
      <c r="P48" s="105">
        <f t="shared" si="1"/>
        <v>0</v>
      </c>
      <c r="Q48" s="105">
        <v>0</v>
      </c>
      <c r="R48" s="109"/>
      <c r="S48" s="105"/>
    </row>
    <row r="49" spans="1:19" x14ac:dyDescent="0.2">
      <c r="A49" s="45" t="s">
        <v>103</v>
      </c>
      <c r="B49" s="46" t="s">
        <v>104</v>
      </c>
      <c r="C49" s="101" t="s">
        <v>103</v>
      </c>
      <c r="D49" s="97">
        <v>38</v>
      </c>
      <c r="E49" s="97">
        <v>50</v>
      </c>
      <c r="F49" s="101" t="s">
        <v>202</v>
      </c>
      <c r="G49" s="101" t="s">
        <v>232</v>
      </c>
      <c r="H49" s="103" t="s">
        <v>252</v>
      </c>
      <c r="I49" s="103" t="s">
        <v>207</v>
      </c>
      <c r="J49" s="97">
        <f>+IF(AND('Selector and Force Calculator'!$J$8&gt;Sheet1!D49,'Selector and Force Calculator'!$J$8&lt;=Sheet1!E49),1,0)</f>
        <v>1</v>
      </c>
      <c r="K49" s="104">
        <f>+IF('Selector and Force Calculator'!$J$10=Sheet1!G49,1,0)</f>
        <v>0</v>
      </c>
      <c r="L49" s="97">
        <f>+IF('Selector and Force Calculator'!_xlnm.Extract=Sheet1!F49,1,0)</f>
        <v>0</v>
      </c>
      <c r="M49" s="97">
        <f>+IF('Selector and Force Calculator'!$J$11=Sheet1!H49,1,0)</f>
        <v>0</v>
      </c>
      <c r="N49" s="102">
        <f t="shared" si="0"/>
        <v>1</v>
      </c>
      <c r="O49" s="105" t="s">
        <v>104</v>
      </c>
      <c r="P49" s="105">
        <f t="shared" si="1"/>
        <v>2</v>
      </c>
      <c r="Q49" s="105">
        <v>1</v>
      </c>
      <c r="R49" s="109">
        <v>27480</v>
      </c>
      <c r="S49" s="105"/>
    </row>
    <row r="50" spans="1:19" x14ac:dyDescent="0.2">
      <c r="A50" s="45" t="s">
        <v>105</v>
      </c>
      <c r="B50" s="46" t="s">
        <v>106</v>
      </c>
      <c r="C50" s="101" t="s">
        <v>105</v>
      </c>
      <c r="D50" s="97">
        <v>38</v>
      </c>
      <c r="E50" s="97">
        <v>50</v>
      </c>
      <c r="F50" s="101" t="s">
        <v>202</v>
      </c>
      <c r="G50" s="101" t="s">
        <v>232</v>
      </c>
      <c r="H50" s="103" t="s">
        <v>253</v>
      </c>
      <c r="I50" s="103" t="s">
        <v>207</v>
      </c>
      <c r="J50" s="97">
        <f>+IF(AND('Selector and Force Calculator'!$J$8&gt;Sheet1!D50,'Selector and Force Calculator'!$J$8&lt;=Sheet1!E50),1,0)</f>
        <v>1</v>
      </c>
      <c r="K50" s="104">
        <f>+IF('Selector and Force Calculator'!$J$10=Sheet1!G50,1,0)</f>
        <v>0</v>
      </c>
      <c r="L50" s="97">
        <f>+IF('Selector and Force Calculator'!_xlnm.Extract=Sheet1!F50,1,0)</f>
        <v>0</v>
      </c>
      <c r="M50" s="97">
        <f>+IF('Selector and Force Calculator'!$J$11=Sheet1!H50,1,0)</f>
        <v>1</v>
      </c>
      <c r="N50" s="102">
        <f t="shared" si="0"/>
        <v>2</v>
      </c>
      <c r="O50" s="105" t="s">
        <v>106</v>
      </c>
      <c r="P50" s="105">
        <f t="shared" si="1"/>
        <v>1</v>
      </c>
      <c r="Q50" s="105">
        <v>0</v>
      </c>
      <c r="R50" s="109"/>
      <c r="S50" s="105"/>
    </row>
    <row r="51" spans="1:19" x14ac:dyDescent="0.2">
      <c r="A51" s="47" t="s">
        <v>107</v>
      </c>
      <c r="B51" s="46" t="s">
        <v>108</v>
      </c>
      <c r="C51" s="108" t="s">
        <v>107</v>
      </c>
      <c r="D51" s="97">
        <v>38</v>
      </c>
      <c r="E51" s="97">
        <v>50</v>
      </c>
      <c r="F51" s="101" t="s">
        <v>202</v>
      </c>
      <c r="G51" s="101" t="s">
        <v>208</v>
      </c>
      <c r="H51" s="103" t="s">
        <v>253</v>
      </c>
      <c r="I51" s="103" t="s">
        <v>206</v>
      </c>
      <c r="J51" s="97">
        <f>+IF(AND('Selector and Force Calculator'!$J$8&gt;Sheet1!D51,'Selector and Force Calculator'!$J$8&lt;=Sheet1!E51),1,0)</f>
        <v>1</v>
      </c>
      <c r="K51" s="104">
        <f>+IF('Selector and Force Calculator'!$J$10=Sheet1!G51,1,0)</f>
        <v>1</v>
      </c>
      <c r="L51" s="97">
        <f>+IF('Selector and Force Calculator'!_xlnm.Extract=Sheet1!F51,1,0)</f>
        <v>0</v>
      </c>
      <c r="M51" s="97">
        <f>+IF('Selector and Force Calculator'!$J$11=Sheet1!H51,1,0)</f>
        <v>1</v>
      </c>
      <c r="N51" s="102">
        <f t="shared" si="0"/>
        <v>3</v>
      </c>
      <c r="O51" s="105" t="s">
        <v>108</v>
      </c>
      <c r="P51" s="105">
        <f t="shared" si="1"/>
        <v>1</v>
      </c>
      <c r="Q51" s="105">
        <v>0</v>
      </c>
      <c r="R51" s="109"/>
      <c r="S51" s="105"/>
    </row>
    <row r="52" spans="1:19" x14ac:dyDescent="0.2">
      <c r="A52" s="47" t="s">
        <v>109</v>
      </c>
      <c r="B52" s="46" t="s">
        <v>110</v>
      </c>
      <c r="C52" s="108" t="s">
        <v>109</v>
      </c>
      <c r="D52" s="97">
        <v>38</v>
      </c>
      <c r="E52" s="97">
        <v>50</v>
      </c>
      <c r="F52" s="101" t="s">
        <v>202</v>
      </c>
      <c r="G52" s="101" t="s">
        <v>204</v>
      </c>
      <c r="H52" s="103" t="s">
        <v>253</v>
      </c>
      <c r="I52" s="103" t="s">
        <v>206</v>
      </c>
      <c r="J52" s="97">
        <f>+IF(AND('Selector and Force Calculator'!$J$8&gt;Sheet1!D52,'Selector and Force Calculator'!$J$8&lt;=Sheet1!E52),1,0)</f>
        <v>1</v>
      </c>
      <c r="K52" s="104">
        <f>+IF('Selector and Force Calculator'!$J$10=Sheet1!G52,1,0)</f>
        <v>0</v>
      </c>
      <c r="L52" s="97">
        <f>+IF('Selector and Force Calculator'!_xlnm.Extract=Sheet1!F52,1,0)</f>
        <v>0</v>
      </c>
      <c r="M52" s="97">
        <f>+IF('Selector and Force Calculator'!$J$11=Sheet1!H52,1,0)</f>
        <v>1</v>
      </c>
      <c r="N52" s="102">
        <f t="shared" si="0"/>
        <v>2</v>
      </c>
      <c r="O52" s="105" t="s">
        <v>110</v>
      </c>
      <c r="P52" s="105">
        <f t="shared" si="1"/>
        <v>1</v>
      </c>
      <c r="Q52" s="105">
        <v>0</v>
      </c>
      <c r="R52" s="109"/>
      <c r="S52" s="105"/>
    </row>
    <row r="53" spans="1:19" x14ac:dyDescent="0.2">
      <c r="A53" s="47" t="s">
        <v>111</v>
      </c>
      <c r="B53" s="46" t="s">
        <v>112</v>
      </c>
      <c r="C53" s="108" t="s">
        <v>111</v>
      </c>
      <c r="D53" s="97">
        <v>38</v>
      </c>
      <c r="E53" s="97">
        <v>50</v>
      </c>
      <c r="F53" s="101" t="s">
        <v>202</v>
      </c>
      <c r="G53" s="101" t="s">
        <v>205</v>
      </c>
      <c r="H53" s="103" t="s">
        <v>253</v>
      </c>
      <c r="I53" s="103" t="s">
        <v>206</v>
      </c>
      <c r="J53" s="97">
        <f>+IF(AND('Selector and Force Calculator'!$J$8&gt;Sheet1!D53,'Selector and Force Calculator'!$J$8&lt;=Sheet1!E53),1,0)</f>
        <v>1</v>
      </c>
      <c r="K53" s="104">
        <f>+IF('Selector and Force Calculator'!$J$10=Sheet1!G53,1,0)</f>
        <v>0</v>
      </c>
      <c r="L53" s="97">
        <f>+IF('Selector and Force Calculator'!_xlnm.Extract=Sheet1!F53,1,0)</f>
        <v>0</v>
      </c>
      <c r="M53" s="97">
        <f>+IF('Selector and Force Calculator'!$J$11=Sheet1!H53,1,0)</f>
        <v>1</v>
      </c>
      <c r="N53" s="102">
        <f t="shared" si="0"/>
        <v>2</v>
      </c>
      <c r="O53" s="105" t="s">
        <v>112</v>
      </c>
      <c r="P53" s="105">
        <f t="shared" si="1"/>
        <v>1</v>
      </c>
      <c r="Q53" s="105">
        <v>0</v>
      </c>
      <c r="R53" s="109"/>
      <c r="S53" s="105"/>
    </row>
    <row r="54" spans="1:19" x14ac:dyDescent="0.2">
      <c r="A54" s="47" t="s">
        <v>113</v>
      </c>
      <c r="B54" s="46" t="s">
        <v>114</v>
      </c>
      <c r="C54" s="108" t="s">
        <v>113</v>
      </c>
      <c r="D54" s="97"/>
      <c r="E54" s="97"/>
      <c r="F54" s="101"/>
      <c r="G54" s="101"/>
      <c r="H54" s="103"/>
      <c r="I54" s="103"/>
      <c r="J54" s="97">
        <f>+IF(AND('Selector and Force Calculator'!$J$8&gt;Sheet1!D54,'Selector and Force Calculator'!$J$8&lt;=Sheet1!E54),1,0)</f>
        <v>0</v>
      </c>
      <c r="K54" s="104">
        <f>+IF('Selector and Force Calculator'!$J$10=Sheet1!G54,1,0)</f>
        <v>0</v>
      </c>
      <c r="L54" s="97">
        <f>+IF('Selector and Force Calculator'!_xlnm.Extract=Sheet1!F54,1,0)</f>
        <v>0</v>
      </c>
      <c r="M54" s="97">
        <f>+IF('Selector and Force Calculator'!$J$11=Sheet1!H54,1,0)</f>
        <v>0</v>
      </c>
      <c r="N54" s="102">
        <f t="shared" si="0"/>
        <v>0</v>
      </c>
      <c r="O54" s="105" t="s">
        <v>114</v>
      </c>
      <c r="P54" s="105">
        <f t="shared" si="1"/>
        <v>0</v>
      </c>
      <c r="Q54" s="105">
        <v>0</v>
      </c>
      <c r="R54" s="109"/>
      <c r="S54" s="105"/>
    </row>
    <row r="55" spans="1:19" x14ac:dyDescent="0.2">
      <c r="A55" s="47" t="s">
        <v>115</v>
      </c>
      <c r="B55" s="46" t="s">
        <v>116</v>
      </c>
      <c r="C55" s="108" t="s">
        <v>115</v>
      </c>
      <c r="D55" s="97"/>
      <c r="E55" s="97"/>
      <c r="F55" s="101"/>
      <c r="G55" s="101"/>
      <c r="H55" s="103"/>
      <c r="I55" s="103"/>
      <c r="J55" s="97">
        <f>+IF(AND('Selector and Force Calculator'!$J$8&gt;Sheet1!D55,'Selector and Force Calculator'!$J$8&lt;=Sheet1!E55),1,0)</f>
        <v>0</v>
      </c>
      <c r="K55" s="104">
        <f>+IF('Selector and Force Calculator'!$J$10=Sheet1!G55,1,0)</f>
        <v>0</v>
      </c>
      <c r="L55" s="97">
        <f>+IF('Selector and Force Calculator'!_xlnm.Extract=Sheet1!F55,1,0)</f>
        <v>0</v>
      </c>
      <c r="M55" s="97">
        <f>+IF('Selector and Force Calculator'!$J$11=Sheet1!H55,1,0)</f>
        <v>0</v>
      </c>
      <c r="N55" s="102">
        <f t="shared" si="0"/>
        <v>0</v>
      </c>
      <c r="O55" s="105" t="s">
        <v>116</v>
      </c>
      <c r="P55" s="105">
        <f t="shared" si="1"/>
        <v>0</v>
      </c>
      <c r="Q55" s="105">
        <v>0</v>
      </c>
      <c r="R55" s="109"/>
      <c r="S55" s="105"/>
    </row>
    <row r="56" spans="1:19" x14ac:dyDescent="0.2">
      <c r="A56" s="47" t="s">
        <v>117</v>
      </c>
      <c r="B56" s="46" t="s">
        <v>118</v>
      </c>
      <c r="C56" s="108" t="s">
        <v>117</v>
      </c>
      <c r="D56" s="97">
        <v>50</v>
      </c>
      <c r="E56" s="97">
        <v>63</v>
      </c>
      <c r="F56" s="101" t="s">
        <v>202</v>
      </c>
      <c r="G56" s="101" t="s">
        <v>232</v>
      </c>
      <c r="H56" s="103" t="s">
        <v>252</v>
      </c>
      <c r="I56" s="103" t="s">
        <v>207</v>
      </c>
      <c r="J56" s="97">
        <f>+IF(AND('Selector and Force Calculator'!$J$8&gt;Sheet1!D56,'Selector and Force Calculator'!$J$8&lt;=Sheet1!E56),1,0)</f>
        <v>0</v>
      </c>
      <c r="K56" s="104">
        <f>+IF('Selector and Force Calculator'!$J$10=Sheet1!G56,1,0)</f>
        <v>0</v>
      </c>
      <c r="L56" s="97">
        <f>+IF('Selector and Force Calculator'!_xlnm.Extract=Sheet1!F56,1,0)</f>
        <v>0</v>
      </c>
      <c r="M56" s="97">
        <f>+IF('Selector and Force Calculator'!$J$11=Sheet1!H56,1,0)</f>
        <v>0</v>
      </c>
      <c r="N56" s="102">
        <f t="shared" si="0"/>
        <v>0</v>
      </c>
      <c r="O56" s="105" t="s">
        <v>118</v>
      </c>
      <c r="P56" s="105">
        <f t="shared" si="1"/>
        <v>1</v>
      </c>
      <c r="Q56" s="105">
        <v>1</v>
      </c>
      <c r="R56" s="109">
        <v>29520</v>
      </c>
      <c r="S56" s="105"/>
    </row>
    <row r="57" spans="1:19" x14ac:dyDescent="0.2">
      <c r="A57" s="47" t="s">
        <v>119</v>
      </c>
      <c r="B57" s="46" t="s">
        <v>120</v>
      </c>
      <c r="C57" s="108" t="s">
        <v>119</v>
      </c>
      <c r="D57" s="97">
        <v>50</v>
      </c>
      <c r="E57" s="97">
        <v>63</v>
      </c>
      <c r="F57" s="101" t="s">
        <v>202</v>
      </c>
      <c r="G57" s="101" t="s">
        <v>232</v>
      </c>
      <c r="H57" s="103" t="s">
        <v>253</v>
      </c>
      <c r="I57" s="103" t="s">
        <v>207</v>
      </c>
      <c r="J57" s="97">
        <f>+IF(AND('Selector and Force Calculator'!$J$8&gt;Sheet1!D57,'Selector and Force Calculator'!$J$8&lt;=Sheet1!E57),1,0)</f>
        <v>0</v>
      </c>
      <c r="K57" s="104">
        <f>+IF('Selector and Force Calculator'!$J$10=Sheet1!G57,1,0)</f>
        <v>0</v>
      </c>
      <c r="L57" s="97">
        <f>+IF('Selector and Force Calculator'!_xlnm.Extract=Sheet1!F57,1,0)</f>
        <v>0</v>
      </c>
      <c r="M57" s="97">
        <f>+IF('Selector and Force Calculator'!$J$11=Sheet1!H57,1,0)</f>
        <v>1</v>
      </c>
      <c r="N57" s="102">
        <f t="shared" si="0"/>
        <v>1</v>
      </c>
      <c r="O57" s="105" t="s">
        <v>120</v>
      </c>
      <c r="P57" s="105">
        <f t="shared" si="1"/>
        <v>0</v>
      </c>
      <c r="Q57" s="105">
        <v>0</v>
      </c>
      <c r="R57" s="109"/>
      <c r="S57" s="105"/>
    </row>
    <row r="58" spans="1:19" x14ac:dyDescent="0.2">
      <c r="A58" s="47" t="s">
        <v>121</v>
      </c>
      <c r="B58" s="46" t="s">
        <v>122</v>
      </c>
      <c r="C58" s="108" t="s">
        <v>121</v>
      </c>
      <c r="D58" s="97">
        <v>50</v>
      </c>
      <c r="E58" s="97">
        <v>63</v>
      </c>
      <c r="F58" s="101" t="s">
        <v>202</v>
      </c>
      <c r="G58" s="101" t="s">
        <v>208</v>
      </c>
      <c r="H58" s="103" t="s">
        <v>253</v>
      </c>
      <c r="I58" s="103" t="s">
        <v>206</v>
      </c>
      <c r="J58" s="97">
        <f>+IF(AND('Selector and Force Calculator'!$J$8&gt;Sheet1!D58,'Selector and Force Calculator'!$J$8&lt;=Sheet1!E58),1,0)</f>
        <v>0</v>
      </c>
      <c r="K58" s="104">
        <f>+IF('Selector and Force Calculator'!$J$10=Sheet1!G58,1,0)</f>
        <v>1</v>
      </c>
      <c r="L58" s="97">
        <f>+IF('Selector and Force Calculator'!_xlnm.Extract=Sheet1!F58,1,0)</f>
        <v>0</v>
      </c>
      <c r="M58" s="97">
        <f>+IF('Selector and Force Calculator'!$J$11=Sheet1!H58,1,0)</f>
        <v>1</v>
      </c>
      <c r="N58" s="102">
        <f t="shared" si="0"/>
        <v>2</v>
      </c>
      <c r="O58" s="105" t="s">
        <v>122</v>
      </c>
      <c r="P58" s="105">
        <f t="shared" si="1"/>
        <v>0</v>
      </c>
      <c r="Q58" s="105">
        <v>0</v>
      </c>
      <c r="R58" s="109"/>
      <c r="S58" s="105"/>
    </row>
    <row r="59" spans="1:19" x14ac:dyDescent="0.2">
      <c r="A59" s="47" t="s">
        <v>123</v>
      </c>
      <c r="B59" s="46" t="s">
        <v>124</v>
      </c>
      <c r="C59" s="108" t="s">
        <v>123</v>
      </c>
      <c r="D59" s="97">
        <v>50</v>
      </c>
      <c r="E59" s="97">
        <v>63</v>
      </c>
      <c r="F59" s="101" t="s">
        <v>202</v>
      </c>
      <c r="G59" s="101" t="s">
        <v>204</v>
      </c>
      <c r="H59" s="103" t="s">
        <v>253</v>
      </c>
      <c r="I59" s="103" t="s">
        <v>206</v>
      </c>
      <c r="J59" s="97">
        <f>+IF(AND('Selector and Force Calculator'!$J$8&gt;Sheet1!D59,'Selector and Force Calculator'!$J$8&lt;=Sheet1!E59),1,0)</f>
        <v>0</v>
      </c>
      <c r="K59" s="104">
        <f>+IF('Selector and Force Calculator'!$J$10=Sheet1!G59,1,0)</f>
        <v>0</v>
      </c>
      <c r="L59" s="97">
        <f>+IF('Selector and Force Calculator'!_xlnm.Extract=Sheet1!F59,1,0)</f>
        <v>0</v>
      </c>
      <c r="M59" s="97">
        <f>+IF('Selector and Force Calculator'!$J$11=Sheet1!H59,1,0)</f>
        <v>1</v>
      </c>
      <c r="N59" s="102">
        <f t="shared" si="0"/>
        <v>1</v>
      </c>
      <c r="O59" s="105" t="s">
        <v>124</v>
      </c>
      <c r="P59" s="105">
        <f t="shared" si="1"/>
        <v>0</v>
      </c>
      <c r="Q59" s="105">
        <v>0</v>
      </c>
      <c r="R59" s="109"/>
      <c r="S59" s="105"/>
    </row>
    <row r="60" spans="1:19" x14ac:dyDescent="0.2">
      <c r="A60" s="47" t="s">
        <v>125</v>
      </c>
      <c r="B60" s="46" t="s">
        <v>126</v>
      </c>
      <c r="C60" s="108" t="s">
        <v>125</v>
      </c>
      <c r="D60" s="97">
        <v>50</v>
      </c>
      <c r="E60" s="97">
        <v>63</v>
      </c>
      <c r="F60" s="101" t="s">
        <v>202</v>
      </c>
      <c r="G60" s="101" t="s">
        <v>205</v>
      </c>
      <c r="H60" s="103" t="s">
        <v>253</v>
      </c>
      <c r="I60" s="103" t="s">
        <v>206</v>
      </c>
      <c r="J60" s="97">
        <f>+IF(AND('Selector and Force Calculator'!$J$8&gt;Sheet1!D60,'Selector and Force Calculator'!$J$8&lt;=Sheet1!E60),1,0)</f>
        <v>0</v>
      </c>
      <c r="K60" s="104">
        <f>+IF('Selector and Force Calculator'!$J$10=Sheet1!G60,1,0)</f>
        <v>0</v>
      </c>
      <c r="L60" s="97">
        <f>+IF('Selector and Force Calculator'!_xlnm.Extract=Sheet1!F60,1,0)</f>
        <v>0</v>
      </c>
      <c r="M60" s="97">
        <f>+IF('Selector and Force Calculator'!$J$11=Sheet1!H60,1,0)</f>
        <v>1</v>
      </c>
      <c r="N60" s="102">
        <f t="shared" si="0"/>
        <v>1</v>
      </c>
      <c r="O60" s="105" t="s">
        <v>126</v>
      </c>
      <c r="P60" s="105">
        <f t="shared" si="1"/>
        <v>0</v>
      </c>
      <c r="Q60" s="105">
        <v>0</v>
      </c>
      <c r="R60" s="109"/>
      <c r="S60" s="105"/>
    </row>
    <row r="61" spans="1:19" x14ac:dyDescent="0.2">
      <c r="A61" s="47" t="s">
        <v>127</v>
      </c>
      <c r="B61" s="46" t="s">
        <v>128</v>
      </c>
      <c r="C61" s="108" t="s">
        <v>127</v>
      </c>
      <c r="D61" s="97"/>
      <c r="E61" s="97"/>
      <c r="F61" s="101"/>
      <c r="G61" s="101"/>
      <c r="H61" s="103"/>
      <c r="I61" s="103"/>
      <c r="J61" s="97">
        <f>+IF(AND('Selector and Force Calculator'!$J$8&gt;Sheet1!D61,'Selector and Force Calculator'!$J$8&lt;=Sheet1!E61),1,0)</f>
        <v>0</v>
      </c>
      <c r="K61" s="104">
        <f>+IF('Selector and Force Calculator'!$J$10=Sheet1!G61,1,0)</f>
        <v>0</v>
      </c>
      <c r="L61" s="97">
        <f>+IF('Selector and Force Calculator'!_xlnm.Extract=Sheet1!F61,1,0)</f>
        <v>0</v>
      </c>
      <c r="M61" s="97">
        <f>+IF('Selector and Force Calculator'!$J$11=Sheet1!H61,1,0)</f>
        <v>0</v>
      </c>
      <c r="N61" s="102">
        <f t="shared" si="0"/>
        <v>0</v>
      </c>
      <c r="O61" s="105" t="s">
        <v>128</v>
      </c>
      <c r="P61" s="105">
        <f t="shared" si="1"/>
        <v>0</v>
      </c>
      <c r="Q61" s="105">
        <v>0</v>
      </c>
      <c r="R61" s="109"/>
      <c r="S61" s="105"/>
    </row>
    <row r="62" spans="1:19" x14ac:dyDescent="0.2">
      <c r="A62" s="47" t="s">
        <v>129</v>
      </c>
      <c r="B62" s="46" t="s">
        <v>130</v>
      </c>
      <c r="C62" s="108" t="s">
        <v>129</v>
      </c>
      <c r="D62" s="97"/>
      <c r="E62" s="97"/>
      <c r="F62" s="101"/>
      <c r="G62" s="101"/>
      <c r="H62" s="103"/>
      <c r="I62" s="103"/>
      <c r="J62" s="97">
        <f>+IF(AND('Selector and Force Calculator'!$J$8&gt;Sheet1!D62,'Selector and Force Calculator'!$J$8&lt;=Sheet1!E62),1,0)</f>
        <v>0</v>
      </c>
      <c r="K62" s="104">
        <f>+IF('Selector and Force Calculator'!$J$10=Sheet1!G62,1,0)</f>
        <v>0</v>
      </c>
      <c r="L62" s="97">
        <f>+IF('Selector and Force Calculator'!_xlnm.Extract=Sheet1!F62,1,0)</f>
        <v>0</v>
      </c>
      <c r="M62" s="97">
        <f>+IF('Selector and Force Calculator'!$J$11=Sheet1!H62,1,0)</f>
        <v>0</v>
      </c>
      <c r="N62" s="102">
        <f t="shared" si="0"/>
        <v>0</v>
      </c>
      <c r="O62" s="105" t="s">
        <v>130</v>
      </c>
      <c r="P62" s="105">
        <f t="shared" si="1"/>
        <v>0</v>
      </c>
      <c r="Q62" s="105">
        <v>0</v>
      </c>
      <c r="R62" s="109"/>
      <c r="S62" s="105"/>
    </row>
    <row r="63" spans="1:19" x14ac:dyDescent="0.2">
      <c r="A63" s="45" t="s">
        <v>131</v>
      </c>
      <c r="B63" s="46" t="s">
        <v>132</v>
      </c>
      <c r="C63" s="101" t="s">
        <v>131</v>
      </c>
      <c r="D63" s="97">
        <v>63</v>
      </c>
      <c r="E63" s="97">
        <v>75.000000000100002</v>
      </c>
      <c r="F63" s="101" t="s">
        <v>202</v>
      </c>
      <c r="G63" s="101" t="s">
        <v>232</v>
      </c>
      <c r="H63" s="103" t="s">
        <v>252</v>
      </c>
      <c r="I63" s="103" t="s">
        <v>207</v>
      </c>
      <c r="J63" s="97">
        <f>+IF(AND('Selector and Force Calculator'!$J$8&gt;Sheet1!D63,'Selector and Force Calculator'!$J$8&lt;=Sheet1!E63),1,0)</f>
        <v>0</v>
      </c>
      <c r="K63" s="104">
        <f>+IF('Selector and Force Calculator'!$J$10=Sheet1!G63,1,0)</f>
        <v>0</v>
      </c>
      <c r="L63" s="97">
        <f>+IF('Selector and Force Calculator'!_xlnm.Extract=Sheet1!F63,1,0)</f>
        <v>0</v>
      </c>
      <c r="M63" s="97">
        <f>+IF('Selector and Force Calculator'!$J$11=Sheet1!H63,1,0)</f>
        <v>0</v>
      </c>
      <c r="N63" s="102">
        <f t="shared" si="0"/>
        <v>0</v>
      </c>
      <c r="O63" s="105" t="s">
        <v>132</v>
      </c>
      <c r="P63" s="105">
        <f t="shared" si="1"/>
        <v>1</v>
      </c>
      <c r="Q63" s="105">
        <v>1</v>
      </c>
      <c r="R63" s="109">
        <v>32000</v>
      </c>
      <c r="S63" s="105"/>
    </row>
    <row r="64" spans="1:19" x14ac:dyDescent="0.2">
      <c r="A64" s="45" t="s">
        <v>133</v>
      </c>
      <c r="B64" s="46" t="s">
        <v>134</v>
      </c>
      <c r="C64" s="101" t="s">
        <v>133</v>
      </c>
      <c r="D64" s="97">
        <v>63</v>
      </c>
      <c r="E64" s="97">
        <v>75.000000000100002</v>
      </c>
      <c r="F64" s="101" t="s">
        <v>202</v>
      </c>
      <c r="G64" s="101" t="s">
        <v>232</v>
      </c>
      <c r="H64" s="103" t="s">
        <v>253</v>
      </c>
      <c r="I64" s="103" t="s">
        <v>207</v>
      </c>
      <c r="J64" s="97">
        <f>+IF(AND('Selector and Force Calculator'!$J$8&gt;Sheet1!D64,'Selector and Force Calculator'!$J$8&lt;=Sheet1!E64),1,0)</f>
        <v>0</v>
      </c>
      <c r="K64" s="104">
        <f>+IF('Selector and Force Calculator'!$J$10=Sheet1!G64,1,0)</f>
        <v>0</v>
      </c>
      <c r="L64" s="97">
        <f>+IF('Selector and Force Calculator'!_xlnm.Extract=Sheet1!F64,1,0)</f>
        <v>0</v>
      </c>
      <c r="M64" s="97">
        <f>+IF('Selector and Force Calculator'!$J$11=Sheet1!H64,1,0)</f>
        <v>1</v>
      </c>
      <c r="N64" s="102">
        <f t="shared" si="0"/>
        <v>1</v>
      </c>
      <c r="O64" s="105" t="s">
        <v>134</v>
      </c>
      <c r="P64" s="105">
        <f t="shared" si="1"/>
        <v>0</v>
      </c>
      <c r="Q64" s="105">
        <v>0</v>
      </c>
      <c r="R64" s="109"/>
      <c r="S64" s="105"/>
    </row>
    <row r="65" spans="1:19" x14ac:dyDescent="0.2">
      <c r="A65" s="45" t="s">
        <v>135</v>
      </c>
      <c r="B65" s="46" t="s">
        <v>136</v>
      </c>
      <c r="C65" s="101" t="s">
        <v>135</v>
      </c>
      <c r="D65" s="97">
        <v>63</v>
      </c>
      <c r="E65" s="97">
        <v>75.000000000100002</v>
      </c>
      <c r="F65" s="101" t="s">
        <v>202</v>
      </c>
      <c r="G65" s="101" t="s">
        <v>208</v>
      </c>
      <c r="H65" s="103" t="s">
        <v>253</v>
      </c>
      <c r="I65" s="103" t="s">
        <v>206</v>
      </c>
      <c r="J65" s="97">
        <f>+IF(AND('Selector and Force Calculator'!$J$8&gt;Sheet1!D65,'Selector and Force Calculator'!$J$8&lt;=Sheet1!E65),1,0)</f>
        <v>0</v>
      </c>
      <c r="K65" s="104">
        <f>+IF('Selector and Force Calculator'!$J$10=Sheet1!G65,1,0)</f>
        <v>1</v>
      </c>
      <c r="L65" s="97">
        <f>+IF('Selector and Force Calculator'!_xlnm.Extract=Sheet1!F65,1,0)</f>
        <v>0</v>
      </c>
      <c r="M65" s="97">
        <f>+IF('Selector and Force Calculator'!$J$11=Sheet1!H65,1,0)</f>
        <v>1</v>
      </c>
      <c r="N65" s="102">
        <f t="shared" si="0"/>
        <v>2</v>
      </c>
      <c r="O65" s="105" t="s">
        <v>136</v>
      </c>
      <c r="P65" s="105">
        <f t="shared" si="1"/>
        <v>0</v>
      </c>
      <c r="Q65" s="105">
        <v>0</v>
      </c>
      <c r="R65" s="109"/>
      <c r="S65" s="105"/>
    </row>
    <row r="66" spans="1:19" x14ac:dyDescent="0.2">
      <c r="A66" s="45" t="s">
        <v>137</v>
      </c>
      <c r="B66" s="46" t="s">
        <v>138</v>
      </c>
      <c r="C66" s="101" t="s">
        <v>137</v>
      </c>
      <c r="D66" s="97">
        <v>63</v>
      </c>
      <c r="E66" s="97">
        <v>75.000000000100002</v>
      </c>
      <c r="F66" s="101" t="s">
        <v>202</v>
      </c>
      <c r="G66" s="101" t="s">
        <v>204</v>
      </c>
      <c r="H66" s="103" t="s">
        <v>253</v>
      </c>
      <c r="I66" s="103" t="s">
        <v>206</v>
      </c>
      <c r="J66" s="97">
        <f>+IF(AND('Selector and Force Calculator'!$J$8&gt;Sheet1!D66,'Selector and Force Calculator'!$J$8&lt;=Sheet1!E66),1,0)</f>
        <v>0</v>
      </c>
      <c r="K66" s="104">
        <f>+IF('Selector and Force Calculator'!$J$10=Sheet1!G66,1,0)</f>
        <v>0</v>
      </c>
      <c r="L66" s="97">
        <f>+IF('Selector and Force Calculator'!_xlnm.Extract=Sheet1!F66,1,0)</f>
        <v>0</v>
      </c>
      <c r="M66" s="97">
        <f>+IF('Selector and Force Calculator'!$J$11=Sheet1!H66,1,0)</f>
        <v>1</v>
      </c>
      <c r="N66" s="102">
        <f t="shared" si="0"/>
        <v>1</v>
      </c>
      <c r="O66" s="105" t="s">
        <v>138</v>
      </c>
      <c r="P66" s="105">
        <f t="shared" si="1"/>
        <v>0</v>
      </c>
      <c r="Q66" s="105">
        <v>0</v>
      </c>
      <c r="R66" s="109"/>
      <c r="S66" s="105"/>
    </row>
    <row r="67" spans="1:19" x14ac:dyDescent="0.2">
      <c r="A67" s="45" t="s">
        <v>139</v>
      </c>
      <c r="B67" s="46" t="s">
        <v>140</v>
      </c>
      <c r="C67" s="101" t="s">
        <v>139</v>
      </c>
      <c r="D67" s="97">
        <v>63</v>
      </c>
      <c r="E67" s="97">
        <v>75.000000000100002</v>
      </c>
      <c r="F67" s="101" t="s">
        <v>202</v>
      </c>
      <c r="G67" s="101" t="s">
        <v>205</v>
      </c>
      <c r="H67" s="103" t="s">
        <v>253</v>
      </c>
      <c r="I67" s="103" t="s">
        <v>206</v>
      </c>
      <c r="J67" s="97">
        <f>+IF(AND('Selector and Force Calculator'!$J$8&gt;Sheet1!D67,'Selector and Force Calculator'!$J$8&lt;=Sheet1!E67),1,0)</f>
        <v>0</v>
      </c>
      <c r="K67" s="104">
        <f>+IF('Selector and Force Calculator'!$J$10=Sheet1!G67,1,0)</f>
        <v>0</v>
      </c>
      <c r="L67" s="97">
        <f>+IF('Selector and Force Calculator'!_xlnm.Extract=Sheet1!F67,1,0)</f>
        <v>0</v>
      </c>
      <c r="M67" s="97">
        <f>+IF('Selector and Force Calculator'!$J$11=Sheet1!H67,1,0)</f>
        <v>1</v>
      </c>
      <c r="N67" s="102">
        <f t="shared" ref="N67:N97" si="2">SUM(J67:M67)</f>
        <v>1</v>
      </c>
      <c r="O67" s="105" t="s">
        <v>140</v>
      </c>
      <c r="P67" s="105">
        <f t="shared" ref="P67:P97" si="3">+SUM(J67,L67,Q67)</f>
        <v>0</v>
      </c>
      <c r="Q67" s="105">
        <v>0</v>
      </c>
      <c r="R67" s="109"/>
      <c r="S67" s="105"/>
    </row>
    <row r="68" spans="1:19" x14ac:dyDescent="0.2">
      <c r="A68" s="47" t="s">
        <v>141</v>
      </c>
      <c r="B68" s="46" t="s">
        <v>142</v>
      </c>
      <c r="C68" s="108" t="s">
        <v>141</v>
      </c>
      <c r="D68" s="97"/>
      <c r="E68" s="97"/>
      <c r="F68" s="101"/>
      <c r="G68" s="101"/>
      <c r="H68" s="103"/>
      <c r="I68" s="103"/>
      <c r="J68" s="97">
        <f>+IF(AND('Selector and Force Calculator'!$J$8&gt;Sheet1!D68,'Selector and Force Calculator'!$J$8&lt;=Sheet1!E68),1,0)</f>
        <v>0</v>
      </c>
      <c r="K68" s="104">
        <f>+IF('Selector and Force Calculator'!$J$10=Sheet1!G68,1,0)</f>
        <v>0</v>
      </c>
      <c r="L68" s="97">
        <f>+IF('Selector and Force Calculator'!_xlnm.Extract=Sheet1!F68,1,0)</f>
        <v>0</v>
      </c>
      <c r="M68" s="97">
        <f>+IF('Selector and Force Calculator'!$J$11=Sheet1!H68,1,0)</f>
        <v>0</v>
      </c>
      <c r="N68" s="102">
        <f t="shared" si="2"/>
        <v>0</v>
      </c>
      <c r="O68" s="105" t="s">
        <v>142</v>
      </c>
      <c r="P68" s="105">
        <f t="shared" si="3"/>
        <v>0</v>
      </c>
      <c r="Q68" s="105">
        <v>0</v>
      </c>
      <c r="R68" s="109"/>
      <c r="S68" s="105"/>
    </row>
    <row r="69" spans="1:19" x14ac:dyDescent="0.2">
      <c r="A69" s="47" t="s">
        <v>143</v>
      </c>
      <c r="B69" s="46" t="s">
        <v>144</v>
      </c>
      <c r="C69" s="108" t="s">
        <v>143</v>
      </c>
      <c r="D69" s="97"/>
      <c r="E69" s="97"/>
      <c r="F69" s="101"/>
      <c r="G69" s="101"/>
      <c r="H69" s="103"/>
      <c r="I69" s="103"/>
      <c r="J69" s="97">
        <f>+IF(AND('Selector and Force Calculator'!$J$8&gt;Sheet1!D69,'Selector and Force Calculator'!$J$8&lt;=Sheet1!E69),1,0)</f>
        <v>0</v>
      </c>
      <c r="K69" s="104">
        <f>+IF('Selector and Force Calculator'!$J$10=Sheet1!G69,1,0)</f>
        <v>0</v>
      </c>
      <c r="L69" s="97">
        <f>+IF('Selector and Force Calculator'!_xlnm.Extract=Sheet1!F69,1,0)</f>
        <v>0</v>
      </c>
      <c r="M69" s="97">
        <f>+IF('Selector and Force Calculator'!$J$11=Sheet1!H69,1,0)</f>
        <v>0</v>
      </c>
      <c r="N69" s="102">
        <f t="shared" si="2"/>
        <v>0</v>
      </c>
      <c r="O69" s="105" t="s">
        <v>144</v>
      </c>
      <c r="P69" s="105">
        <f t="shared" si="3"/>
        <v>0</v>
      </c>
      <c r="Q69" s="105">
        <v>0</v>
      </c>
      <c r="R69" s="109"/>
      <c r="S69" s="105"/>
    </row>
    <row r="70" spans="1:19" x14ac:dyDescent="0.2">
      <c r="A70" s="45" t="s">
        <v>145</v>
      </c>
      <c r="B70" s="46" t="s">
        <v>146</v>
      </c>
      <c r="C70" s="101" t="s">
        <v>145</v>
      </c>
      <c r="D70" s="97">
        <v>25.999999999</v>
      </c>
      <c r="E70" s="97">
        <v>38</v>
      </c>
      <c r="F70" s="101" t="s">
        <v>203</v>
      </c>
      <c r="G70" s="101" t="s">
        <v>232</v>
      </c>
      <c r="H70" s="103" t="s">
        <v>252</v>
      </c>
      <c r="I70" s="103" t="s">
        <v>207</v>
      </c>
      <c r="J70" s="97">
        <f>+IF(AND('Selector and Force Calculator'!$J$8&gt;Sheet1!D70,'Selector and Force Calculator'!$J$8&lt;=Sheet1!E70),1,0)</f>
        <v>0</v>
      </c>
      <c r="K70" s="104">
        <f>+IF('Selector and Force Calculator'!$J$10=Sheet1!G70,1,0)</f>
        <v>0</v>
      </c>
      <c r="L70" s="97">
        <f>+IF('Selector and Force Calculator'!_xlnm.Extract=Sheet1!F70,1,0)</f>
        <v>0</v>
      </c>
      <c r="M70" s="97">
        <f>+IF('Selector and Force Calculator'!$J$11=Sheet1!H70,1,0)</f>
        <v>0</v>
      </c>
      <c r="N70" s="102">
        <f t="shared" si="2"/>
        <v>0</v>
      </c>
      <c r="O70" s="105" t="s">
        <v>146</v>
      </c>
      <c r="P70" s="105">
        <f t="shared" si="3"/>
        <v>1</v>
      </c>
      <c r="Q70" s="105">
        <v>1</v>
      </c>
      <c r="R70" s="109">
        <v>25380</v>
      </c>
      <c r="S70" s="105"/>
    </row>
    <row r="71" spans="1:19" x14ac:dyDescent="0.2">
      <c r="A71" s="45" t="s">
        <v>147</v>
      </c>
      <c r="B71" s="46" t="s">
        <v>148</v>
      </c>
      <c r="C71" s="101" t="s">
        <v>147</v>
      </c>
      <c r="D71" s="97">
        <v>25.999999999</v>
      </c>
      <c r="E71" s="97">
        <v>38</v>
      </c>
      <c r="F71" s="101" t="s">
        <v>203</v>
      </c>
      <c r="G71" s="101" t="s">
        <v>232</v>
      </c>
      <c r="H71" s="103" t="s">
        <v>253</v>
      </c>
      <c r="I71" s="103" t="s">
        <v>207</v>
      </c>
      <c r="J71" s="97">
        <f>+IF(AND('Selector and Force Calculator'!$J$8&gt;Sheet1!D71,'Selector and Force Calculator'!$J$8&lt;=Sheet1!E71),1,0)</f>
        <v>0</v>
      </c>
      <c r="K71" s="104">
        <f>+IF('Selector and Force Calculator'!$J$10=Sheet1!G71,1,0)</f>
        <v>0</v>
      </c>
      <c r="L71" s="97">
        <f>+IF('Selector and Force Calculator'!_xlnm.Extract=Sheet1!F71,1,0)</f>
        <v>0</v>
      </c>
      <c r="M71" s="97">
        <f>+IF('Selector and Force Calculator'!$J$11=Sheet1!H71,1,0)</f>
        <v>1</v>
      </c>
      <c r="N71" s="102">
        <f t="shared" si="2"/>
        <v>1</v>
      </c>
      <c r="O71" s="105" t="s">
        <v>148</v>
      </c>
      <c r="P71" s="105">
        <f t="shared" si="3"/>
        <v>0</v>
      </c>
      <c r="Q71" s="105">
        <v>0</v>
      </c>
      <c r="R71" s="109"/>
      <c r="S71" s="105"/>
    </row>
    <row r="72" spans="1:19" x14ac:dyDescent="0.2">
      <c r="A72" s="47" t="s">
        <v>149</v>
      </c>
      <c r="B72" s="46" t="s">
        <v>150</v>
      </c>
      <c r="C72" s="108" t="s">
        <v>149</v>
      </c>
      <c r="D72" s="97"/>
      <c r="E72" s="97"/>
      <c r="F72" s="101"/>
      <c r="G72" s="108"/>
      <c r="H72" s="103"/>
      <c r="I72" s="103"/>
      <c r="J72" s="97">
        <f>+IF(AND('Selector and Force Calculator'!$J$8&gt;Sheet1!D72,'Selector and Force Calculator'!$J$8&lt;=Sheet1!E72),1,0)</f>
        <v>0</v>
      </c>
      <c r="K72" s="104">
        <f>+IF('Selector and Force Calculator'!$J$10=Sheet1!G72,1,0)</f>
        <v>0</v>
      </c>
      <c r="L72" s="97">
        <f>+IF('Selector and Force Calculator'!_xlnm.Extract=Sheet1!F72,1,0)</f>
        <v>0</v>
      </c>
      <c r="M72" s="97">
        <f>+IF('Selector and Force Calculator'!$J$11=Sheet1!H72,1,0)</f>
        <v>0</v>
      </c>
      <c r="N72" s="102">
        <f t="shared" si="2"/>
        <v>0</v>
      </c>
      <c r="O72" s="105" t="s">
        <v>150</v>
      </c>
      <c r="P72" s="105">
        <f t="shared" si="3"/>
        <v>0</v>
      </c>
      <c r="Q72" s="105">
        <v>0</v>
      </c>
      <c r="R72" s="109"/>
      <c r="S72" s="105"/>
    </row>
    <row r="73" spans="1:19" x14ac:dyDescent="0.2">
      <c r="A73" s="47" t="s">
        <v>151</v>
      </c>
      <c r="B73" s="46" t="s">
        <v>152</v>
      </c>
      <c r="C73" s="108" t="s">
        <v>151</v>
      </c>
      <c r="D73" s="97">
        <v>25.999999999</v>
      </c>
      <c r="E73" s="97">
        <v>38</v>
      </c>
      <c r="F73" s="101" t="s">
        <v>203</v>
      </c>
      <c r="G73" s="101" t="s">
        <v>208</v>
      </c>
      <c r="H73" s="103" t="s">
        <v>253</v>
      </c>
      <c r="I73" s="103" t="s">
        <v>206</v>
      </c>
      <c r="J73" s="97">
        <f>+IF(AND('Selector and Force Calculator'!$J$8&gt;Sheet1!D73,'Selector and Force Calculator'!$J$8&lt;=Sheet1!E73),1,0)</f>
        <v>0</v>
      </c>
      <c r="K73" s="104">
        <f>+IF('Selector and Force Calculator'!$J$10=Sheet1!G73,1,0)</f>
        <v>1</v>
      </c>
      <c r="L73" s="97">
        <f>+IF('Selector and Force Calculator'!_xlnm.Extract=Sheet1!F73,1,0)</f>
        <v>0</v>
      </c>
      <c r="M73" s="97">
        <f>+IF('Selector and Force Calculator'!$J$11=Sheet1!H73,1,0)</f>
        <v>1</v>
      </c>
      <c r="N73" s="102">
        <f t="shared" si="2"/>
        <v>2</v>
      </c>
      <c r="O73" s="105" t="s">
        <v>152</v>
      </c>
      <c r="P73" s="105">
        <f t="shared" si="3"/>
        <v>0</v>
      </c>
      <c r="Q73" s="105">
        <v>0</v>
      </c>
      <c r="R73" s="109"/>
      <c r="S73" s="105"/>
    </row>
    <row r="74" spans="1:19" x14ac:dyDescent="0.2">
      <c r="A74" s="47" t="s">
        <v>153</v>
      </c>
      <c r="B74" s="46" t="s">
        <v>154</v>
      </c>
      <c r="C74" s="108" t="s">
        <v>153</v>
      </c>
      <c r="D74" s="97">
        <v>25.999999999</v>
      </c>
      <c r="E74" s="97">
        <v>38</v>
      </c>
      <c r="F74" s="101" t="s">
        <v>203</v>
      </c>
      <c r="G74" s="101" t="s">
        <v>204</v>
      </c>
      <c r="H74" s="103" t="s">
        <v>253</v>
      </c>
      <c r="I74" s="103" t="s">
        <v>206</v>
      </c>
      <c r="J74" s="97">
        <f>+IF(AND('Selector and Force Calculator'!$J$8&gt;Sheet1!D74,'Selector and Force Calculator'!$J$8&lt;=Sheet1!E74),1,0)</f>
        <v>0</v>
      </c>
      <c r="K74" s="104">
        <f>+IF('Selector and Force Calculator'!$J$10=Sheet1!G74,1,0)</f>
        <v>0</v>
      </c>
      <c r="L74" s="97">
        <f>+IF('Selector and Force Calculator'!_xlnm.Extract=Sheet1!F74,1,0)</f>
        <v>0</v>
      </c>
      <c r="M74" s="97">
        <f>+IF('Selector and Force Calculator'!$J$11=Sheet1!H74,1,0)</f>
        <v>1</v>
      </c>
      <c r="N74" s="102">
        <f t="shared" si="2"/>
        <v>1</v>
      </c>
      <c r="O74" s="105" t="s">
        <v>154</v>
      </c>
      <c r="P74" s="105">
        <f t="shared" si="3"/>
        <v>0</v>
      </c>
      <c r="Q74" s="105">
        <v>0</v>
      </c>
      <c r="R74" s="109"/>
      <c r="S74" s="105"/>
    </row>
    <row r="75" spans="1:19" x14ac:dyDescent="0.2">
      <c r="A75" s="47" t="s">
        <v>155</v>
      </c>
      <c r="B75" s="46" t="s">
        <v>156</v>
      </c>
      <c r="C75" s="108" t="s">
        <v>155</v>
      </c>
      <c r="D75" s="97">
        <v>25.999999999</v>
      </c>
      <c r="E75" s="97">
        <v>38</v>
      </c>
      <c r="F75" s="101" t="s">
        <v>203</v>
      </c>
      <c r="G75" s="101" t="s">
        <v>205</v>
      </c>
      <c r="H75" s="103" t="s">
        <v>253</v>
      </c>
      <c r="I75" s="103" t="s">
        <v>206</v>
      </c>
      <c r="J75" s="97">
        <f>+IF(AND('Selector and Force Calculator'!$J$8&gt;Sheet1!D75,'Selector and Force Calculator'!$J$8&lt;=Sheet1!E75),1,0)</f>
        <v>0</v>
      </c>
      <c r="K75" s="104">
        <f>+IF('Selector and Force Calculator'!$J$10=Sheet1!G75,1,0)</f>
        <v>0</v>
      </c>
      <c r="L75" s="97">
        <f>+IF('Selector and Force Calculator'!_xlnm.Extract=Sheet1!F75,1,0)</f>
        <v>0</v>
      </c>
      <c r="M75" s="97">
        <f>+IF('Selector and Force Calculator'!$J$11=Sheet1!H75,1,0)</f>
        <v>1</v>
      </c>
      <c r="N75" s="102">
        <f t="shared" si="2"/>
        <v>1</v>
      </c>
      <c r="O75" s="105" t="s">
        <v>156</v>
      </c>
      <c r="P75" s="105">
        <f t="shared" si="3"/>
        <v>0</v>
      </c>
      <c r="Q75" s="105">
        <v>0</v>
      </c>
      <c r="R75" s="109"/>
      <c r="S75" s="105"/>
    </row>
    <row r="76" spans="1:19" x14ac:dyDescent="0.2">
      <c r="A76" s="47" t="s">
        <v>157</v>
      </c>
      <c r="B76" s="46" t="s">
        <v>158</v>
      </c>
      <c r="C76" s="108" t="s">
        <v>157</v>
      </c>
      <c r="D76" s="97"/>
      <c r="E76" s="97"/>
      <c r="F76" s="101"/>
      <c r="G76" s="101"/>
      <c r="H76" s="103"/>
      <c r="I76" s="103"/>
      <c r="J76" s="97">
        <f>+IF(AND('Selector and Force Calculator'!$J$8&gt;Sheet1!D76,'Selector and Force Calculator'!$J$8&lt;=Sheet1!E76),1,0)</f>
        <v>0</v>
      </c>
      <c r="K76" s="104">
        <f>+IF('Selector and Force Calculator'!$J$10=Sheet1!G76,1,0)</f>
        <v>0</v>
      </c>
      <c r="L76" s="97">
        <f>+IF('Selector and Force Calculator'!_xlnm.Extract=Sheet1!F76,1,0)</f>
        <v>0</v>
      </c>
      <c r="M76" s="97">
        <f>+IF('Selector and Force Calculator'!$J$11=Sheet1!H76,1,0)</f>
        <v>0</v>
      </c>
      <c r="N76" s="102">
        <f t="shared" si="2"/>
        <v>0</v>
      </c>
      <c r="O76" s="105" t="s">
        <v>158</v>
      </c>
      <c r="P76" s="105">
        <f t="shared" si="3"/>
        <v>0</v>
      </c>
      <c r="Q76" s="105">
        <v>0</v>
      </c>
      <c r="R76" s="109"/>
      <c r="S76" s="105"/>
    </row>
    <row r="77" spans="1:19" x14ac:dyDescent="0.2">
      <c r="A77" s="47" t="s">
        <v>159</v>
      </c>
      <c r="B77" s="46" t="s">
        <v>160</v>
      </c>
      <c r="C77" s="108" t="s">
        <v>159</v>
      </c>
      <c r="D77" s="97"/>
      <c r="E77" s="97"/>
      <c r="F77" s="101"/>
      <c r="G77" s="101"/>
      <c r="H77" s="103"/>
      <c r="I77" s="103"/>
      <c r="J77" s="97">
        <f>+IF(AND('Selector and Force Calculator'!$J$8&gt;Sheet1!D77,'Selector and Force Calculator'!$J$8&lt;=Sheet1!E77),1,0)</f>
        <v>0</v>
      </c>
      <c r="K77" s="104">
        <f>+IF('Selector and Force Calculator'!$J$10=Sheet1!G77,1,0)</f>
        <v>0</v>
      </c>
      <c r="L77" s="97">
        <f>+IF('Selector and Force Calculator'!_xlnm.Extract=Sheet1!F77,1,0)</f>
        <v>0</v>
      </c>
      <c r="M77" s="97">
        <f>+IF('Selector and Force Calculator'!$J$11=Sheet1!H77,1,0)</f>
        <v>0</v>
      </c>
      <c r="N77" s="102">
        <f t="shared" si="2"/>
        <v>0</v>
      </c>
      <c r="O77" s="105" t="s">
        <v>160</v>
      </c>
      <c r="P77" s="105">
        <f t="shared" si="3"/>
        <v>0</v>
      </c>
      <c r="Q77" s="105">
        <v>0</v>
      </c>
      <c r="R77" s="109"/>
      <c r="S77" s="105"/>
    </row>
    <row r="78" spans="1:19" x14ac:dyDescent="0.2">
      <c r="A78" s="45" t="s">
        <v>161</v>
      </c>
      <c r="B78" s="46" t="s">
        <v>162</v>
      </c>
      <c r="C78" s="101" t="s">
        <v>161</v>
      </c>
      <c r="D78" s="97">
        <v>38</v>
      </c>
      <c r="E78" s="97">
        <v>50</v>
      </c>
      <c r="F78" s="101" t="s">
        <v>203</v>
      </c>
      <c r="G78" s="101" t="s">
        <v>232</v>
      </c>
      <c r="H78" s="103" t="s">
        <v>252</v>
      </c>
      <c r="I78" s="103" t="s">
        <v>207</v>
      </c>
      <c r="J78" s="97">
        <f>+IF(AND('Selector and Force Calculator'!$J$8&gt;Sheet1!D78,'Selector and Force Calculator'!$J$8&lt;=Sheet1!E78),1,0)</f>
        <v>1</v>
      </c>
      <c r="K78" s="104">
        <f>+IF('Selector and Force Calculator'!$J$10=Sheet1!G78,1,0)</f>
        <v>0</v>
      </c>
      <c r="L78" s="97">
        <f>+IF('Selector and Force Calculator'!_xlnm.Extract=Sheet1!F78,1,0)</f>
        <v>0</v>
      </c>
      <c r="M78" s="97">
        <f>+IF('Selector and Force Calculator'!$J$11=Sheet1!H78,1,0)</f>
        <v>0</v>
      </c>
      <c r="N78" s="102">
        <f t="shared" si="2"/>
        <v>1</v>
      </c>
      <c r="O78" s="105" t="s">
        <v>162</v>
      </c>
      <c r="P78" s="105">
        <f t="shared" si="3"/>
        <v>2</v>
      </c>
      <c r="Q78" s="105">
        <v>1</v>
      </c>
      <c r="R78" s="109">
        <v>27480</v>
      </c>
      <c r="S78" s="105"/>
    </row>
    <row r="79" spans="1:19" x14ac:dyDescent="0.2">
      <c r="A79" s="45" t="s">
        <v>163</v>
      </c>
      <c r="B79" s="46" t="s">
        <v>164</v>
      </c>
      <c r="C79" s="101" t="s">
        <v>163</v>
      </c>
      <c r="D79" s="97">
        <v>38</v>
      </c>
      <c r="E79" s="97">
        <v>50</v>
      </c>
      <c r="F79" s="101" t="s">
        <v>203</v>
      </c>
      <c r="G79" s="101" t="s">
        <v>232</v>
      </c>
      <c r="H79" s="103" t="s">
        <v>253</v>
      </c>
      <c r="I79" s="103" t="s">
        <v>207</v>
      </c>
      <c r="J79" s="97">
        <f>+IF(AND('Selector and Force Calculator'!$J$8&gt;Sheet1!D79,'Selector and Force Calculator'!$J$8&lt;=Sheet1!E79),1,0)</f>
        <v>1</v>
      </c>
      <c r="K79" s="104">
        <f>+IF('Selector and Force Calculator'!$J$10=Sheet1!G79,1,0)</f>
        <v>0</v>
      </c>
      <c r="L79" s="97">
        <f>+IF('Selector and Force Calculator'!_xlnm.Extract=Sheet1!F79,1,0)</f>
        <v>0</v>
      </c>
      <c r="M79" s="97">
        <f>+IF('Selector and Force Calculator'!$J$11=Sheet1!H79,1,0)</f>
        <v>1</v>
      </c>
      <c r="N79" s="102">
        <f t="shared" si="2"/>
        <v>2</v>
      </c>
      <c r="O79" s="105" t="s">
        <v>164</v>
      </c>
      <c r="P79" s="105">
        <f t="shared" si="3"/>
        <v>1</v>
      </c>
      <c r="Q79" s="105">
        <v>0</v>
      </c>
      <c r="R79" s="109"/>
      <c r="S79" s="105"/>
    </row>
    <row r="80" spans="1:19" x14ac:dyDescent="0.2">
      <c r="A80" s="47" t="s">
        <v>165</v>
      </c>
      <c r="B80" s="46" t="s">
        <v>166</v>
      </c>
      <c r="C80" s="108" t="s">
        <v>165</v>
      </c>
      <c r="D80" s="97">
        <v>38</v>
      </c>
      <c r="E80" s="97">
        <v>50</v>
      </c>
      <c r="F80" s="101" t="s">
        <v>203</v>
      </c>
      <c r="G80" s="101" t="s">
        <v>208</v>
      </c>
      <c r="H80" s="103" t="s">
        <v>253</v>
      </c>
      <c r="I80" s="103" t="s">
        <v>206</v>
      </c>
      <c r="J80" s="97">
        <f>+IF(AND('Selector and Force Calculator'!$J$8&gt;Sheet1!D80,'Selector and Force Calculator'!$J$8&lt;=Sheet1!E80),1,0)</f>
        <v>1</v>
      </c>
      <c r="K80" s="104">
        <f>+IF('Selector and Force Calculator'!$J$10=Sheet1!G80,1,0)</f>
        <v>1</v>
      </c>
      <c r="L80" s="97">
        <f>+IF('Selector and Force Calculator'!_xlnm.Extract=Sheet1!F80,1,0)</f>
        <v>0</v>
      </c>
      <c r="M80" s="97">
        <f>+IF('Selector and Force Calculator'!$J$11=Sheet1!H80,1,0)</f>
        <v>1</v>
      </c>
      <c r="N80" s="102">
        <f t="shared" si="2"/>
        <v>3</v>
      </c>
      <c r="O80" s="105" t="s">
        <v>166</v>
      </c>
      <c r="P80" s="105">
        <f t="shared" si="3"/>
        <v>1</v>
      </c>
      <c r="Q80" s="105">
        <v>0</v>
      </c>
      <c r="R80" s="109"/>
      <c r="S80" s="105"/>
    </row>
    <row r="81" spans="1:19" x14ac:dyDescent="0.2">
      <c r="A81" s="47" t="s">
        <v>167</v>
      </c>
      <c r="B81" s="46" t="s">
        <v>168</v>
      </c>
      <c r="C81" s="108" t="s">
        <v>167</v>
      </c>
      <c r="D81" s="97">
        <v>38</v>
      </c>
      <c r="E81" s="97">
        <v>50</v>
      </c>
      <c r="F81" s="101" t="s">
        <v>203</v>
      </c>
      <c r="G81" s="101" t="s">
        <v>204</v>
      </c>
      <c r="H81" s="103" t="s">
        <v>253</v>
      </c>
      <c r="I81" s="103" t="s">
        <v>206</v>
      </c>
      <c r="J81" s="97">
        <f>+IF(AND('Selector and Force Calculator'!$J$8&gt;Sheet1!D81,'Selector and Force Calculator'!$J$8&lt;=Sheet1!E81),1,0)</f>
        <v>1</v>
      </c>
      <c r="K81" s="104">
        <f>+IF('Selector and Force Calculator'!$J$10=Sheet1!G81,1,0)</f>
        <v>0</v>
      </c>
      <c r="L81" s="97">
        <f>+IF('Selector and Force Calculator'!_xlnm.Extract=Sheet1!F81,1,0)</f>
        <v>0</v>
      </c>
      <c r="M81" s="97">
        <f>+IF('Selector and Force Calculator'!$J$11=Sheet1!H81,1,0)</f>
        <v>1</v>
      </c>
      <c r="N81" s="102">
        <f t="shared" si="2"/>
        <v>2</v>
      </c>
      <c r="O81" s="105" t="s">
        <v>168</v>
      </c>
      <c r="P81" s="105">
        <f t="shared" si="3"/>
        <v>1</v>
      </c>
      <c r="Q81" s="105">
        <v>0</v>
      </c>
      <c r="R81" s="109"/>
      <c r="S81" s="105"/>
    </row>
    <row r="82" spans="1:19" x14ac:dyDescent="0.2">
      <c r="A82" s="47" t="s">
        <v>169</v>
      </c>
      <c r="B82" s="46" t="s">
        <v>170</v>
      </c>
      <c r="C82" s="108" t="s">
        <v>169</v>
      </c>
      <c r="D82" s="97">
        <v>38</v>
      </c>
      <c r="E82" s="97">
        <v>50</v>
      </c>
      <c r="F82" s="101" t="s">
        <v>203</v>
      </c>
      <c r="G82" s="101" t="s">
        <v>205</v>
      </c>
      <c r="H82" s="103" t="s">
        <v>253</v>
      </c>
      <c r="I82" s="103" t="s">
        <v>206</v>
      </c>
      <c r="J82" s="97">
        <f>+IF(AND('Selector and Force Calculator'!$J$8&gt;Sheet1!D82,'Selector and Force Calculator'!$J$8&lt;=Sheet1!E82),1,0)</f>
        <v>1</v>
      </c>
      <c r="K82" s="104">
        <f>+IF('Selector and Force Calculator'!$J$10=Sheet1!G82,1,0)</f>
        <v>0</v>
      </c>
      <c r="L82" s="97">
        <f>+IF('Selector and Force Calculator'!_xlnm.Extract=Sheet1!F82,1,0)</f>
        <v>0</v>
      </c>
      <c r="M82" s="97">
        <f>+IF('Selector and Force Calculator'!$J$11=Sheet1!H82,1,0)</f>
        <v>1</v>
      </c>
      <c r="N82" s="102">
        <f t="shared" si="2"/>
        <v>2</v>
      </c>
      <c r="O82" s="105" t="s">
        <v>170</v>
      </c>
      <c r="P82" s="105">
        <f t="shared" si="3"/>
        <v>1</v>
      </c>
      <c r="Q82" s="105">
        <v>0</v>
      </c>
      <c r="R82" s="109"/>
      <c r="S82" s="105"/>
    </row>
    <row r="83" spans="1:19" x14ac:dyDescent="0.2">
      <c r="A83" s="47" t="s">
        <v>171</v>
      </c>
      <c r="B83" s="46" t="s">
        <v>172</v>
      </c>
      <c r="C83" s="108" t="s">
        <v>171</v>
      </c>
      <c r="D83" s="97"/>
      <c r="E83" s="97"/>
      <c r="F83" s="101"/>
      <c r="G83" s="101"/>
      <c r="H83" s="103"/>
      <c r="I83" s="103"/>
      <c r="J83" s="97">
        <f>+IF(AND('Selector and Force Calculator'!$J$8&gt;Sheet1!D83,'Selector and Force Calculator'!$J$8&lt;=Sheet1!E83),1,0)</f>
        <v>0</v>
      </c>
      <c r="K83" s="104">
        <f>+IF('Selector and Force Calculator'!$J$10=Sheet1!G83,1,0)</f>
        <v>0</v>
      </c>
      <c r="L83" s="97">
        <f>+IF('Selector and Force Calculator'!_xlnm.Extract=Sheet1!F83,1,0)</f>
        <v>0</v>
      </c>
      <c r="M83" s="97">
        <f>+IF('Selector and Force Calculator'!$J$11=Sheet1!H83,1,0)</f>
        <v>0</v>
      </c>
      <c r="N83" s="102">
        <f t="shared" si="2"/>
        <v>0</v>
      </c>
      <c r="O83" s="105" t="s">
        <v>172</v>
      </c>
      <c r="P83" s="105">
        <f t="shared" si="3"/>
        <v>0</v>
      </c>
      <c r="Q83" s="105">
        <v>0</v>
      </c>
      <c r="R83" s="109"/>
      <c r="S83" s="105"/>
    </row>
    <row r="84" spans="1:19" x14ac:dyDescent="0.2">
      <c r="A84" s="47" t="s">
        <v>173</v>
      </c>
      <c r="B84" s="46" t="s">
        <v>174</v>
      </c>
      <c r="C84" s="108" t="s">
        <v>173</v>
      </c>
      <c r="D84" s="97"/>
      <c r="E84" s="97"/>
      <c r="F84" s="101"/>
      <c r="G84" s="101"/>
      <c r="H84" s="103"/>
      <c r="I84" s="103"/>
      <c r="J84" s="97">
        <f>+IF(AND('Selector and Force Calculator'!$J$8&gt;Sheet1!D84,'Selector and Force Calculator'!$J$8&lt;=Sheet1!E84),1,0)</f>
        <v>0</v>
      </c>
      <c r="K84" s="104">
        <f>+IF('Selector and Force Calculator'!$J$10=Sheet1!G84,1,0)</f>
        <v>0</v>
      </c>
      <c r="L84" s="97">
        <f>+IF('Selector and Force Calculator'!_xlnm.Extract=Sheet1!F84,1,0)</f>
        <v>0</v>
      </c>
      <c r="M84" s="97">
        <f>+IF('Selector and Force Calculator'!$J$11=Sheet1!H84,1,0)</f>
        <v>0</v>
      </c>
      <c r="N84" s="102">
        <f t="shared" si="2"/>
        <v>0</v>
      </c>
      <c r="O84" s="105" t="s">
        <v>174</v>
      </c>
      <c r="P84" s="105">
        <f t="shared" si="3"/>
        <v>0</v>
      </c>
      <c r="Q84" s="105">
        <v>0</v>
      </c>
      <c r="R84" s="109"/>
      <c r="S84" s="105"/>
    </row>
    <row r="85" spans="1:19" x14ac:dyDescent="0.2">
      <c r="A85" s="45" t="s">
        <v>175</v>
      </c>
      <c r="B85" s="46" t="s">
        <v>176</v>
      </c>
      <c r="C85" s="101" t="s">
        <v>175</v>
      </c>
      <c r="D85" s="97">
        <v>50</v>
      </c>
      <c r="E85" s="97">
        <v>63</v>
      </c>
      <c r="F85" s="101" t="s">
        <v>203</v>
      </c>
      <c r="G85" s="101" t="s">
        <v>232</v>
      </c>
      <c r="H85" s="103" t="s">
        <v>252</v>
      </c>
      <c r="I85" s="103" t="s">
        <v>207</v>
      </c>
      <c r="J85" s="97">
        <f>+IF(AND('Selector and Force Calculator'!$J$8&gt;Sheet1!D85,'Selector and Force Calculator'!$J$8&lt;=Sheet1!E85),1,0)</f>
        <v>0</v>
      </c>
      <c r="K85" s="104">
        <f>+IF('Selector and Force Calculator'!$J$10=Sheet1!G85,1,0)</f>
        <v>0</v>
      </c>
      <c r="L85" s="97">
        <f>+IF('Selector and Force Calculator'!_xlnm.Extract=Sheet1!F85,1,0)</f>
        <v>0</v>
      </c>
      <c r="M85" s="97">
        <f>+IF('Selector and Force Calculator'!$J$11=Sheet1!H85,1,0)</f>
        <v>0</v>
      </c>
      <c r="N85" s="102">
        <f t="shared" si="2"/>
        <v>0</v>
      </c>
      <c r="O85" s="105" t="s">
        <v>176</v>
      </c>
      <c r="P85" s="105">
        <f t="shared" si="3"/>
        <v>1</v>
      </c>
      <c r="Q85" s="105">
        <v>1</v>
      </c>
      <c r="R85" s="109">
        <v>29520</v>
      </c>
      <c r="S85" s="105"/>
    </row>
    <row r="86" spans="1:19" x14ac:dyDescent="0.2">
      <c r="A86" s="45" t="s">
        <v>177</v>
      </c>
      <c r="B86" s="46" t="s">
        <v>178</v>
      </c>
      <c r="C86" s="101" t="s">
        <v>177</v>
      </c>
      <c r="D86" s="97">
        <v>50</v>
      </c>
      <c r="E86" s="97">
        <v>63</v>
      </c>
      <c r="F86" s="101" t="s">
        <v>203</v>
      </c>
      <c r="G86" s="101" t="s">
        <v>232</v>
      </c>
      <c r="H86" s="103" t="s">
        <v>253</v>
      </c>
      <c r="I86" s="103" t="s">
        <v>207</v>
      </c>
      <c r="J86" s="97">
        <f>+IF(AND('Selector and Force Calculator'!$J$8&gt;Sheet1!D86,'Selector and Force Calculator'!$J$8&lt;=Sheet1!E86),1,0)</f>
        <v>0</v>
      </c>
      <c r="K86" s="104">
        <f>+IF('Selector and Force Calculator'!$J$10=Sheet1!G86,1,0)</f>
        <v>0</v>
      </c>
      <c r="L86" s="97">
        <f>+IF('Selector and Force Calculator'!_xlnm.Extract=Sheet1!F86,1,0)</f>
        <v>0</v>
      </c>
      <c r="M86" s="97">
        <f>+IF('Selector and Force Calculator'!$J$11=Sheet1!H86,1,0)</f>
        <v>1</v>
      </c>
      <c r="N86" s="102">
        <f t="shared" si="2"/>
        <v>1</v>
      </c>
      <c r="O86" s="105" t="s">
        <v>178</v>
      </c>
      <c r="P86" s="105">
        <f t="shared" si="3"/>
        <v>0</v>
      </c>
      <c r="Q86" s="105">
        <v>0</v>
      </c>
      <c r="R86" s="109"/>
      <c r="S86" s="105"/>
    </row>
    <row r="87" spans="1:19" x14ac:dyDescent="0.2">
      <c r="A87" s="47" t="s">
        <v>179</v>
      </c>
      <c r="B87" s="46" t="s">
        <v>180</v>
      </c>
      <c r="C87" s="108" t="s">
        <v>179</v>
      </c>
      <c r="D87" s="97">
        <v>50</v>
      </c>
      <c r="E87" s="97">
        <v>63</v>
      </c>
      <c r="F87" s="101" t="s">
        <v>203</v>
      </c>
      <c r="G87" s="101" t="s">
        <v>208</v>
      </c>
      <c r="H87" s="103" t="s">
        <v>253</v>
      </c>
      <c r="I87" s="103" t="s">
        <v>206</v>
      </c>
      <c r="J87" s="97">
        <f>+IF(AND('Selector and Force Calculator'!$J$8&gt;Sheet1!D87,'Selector and Force Calculator'!$J$8&lt;=Sheet1!E87),1,0)</f>
        <v>0</v>
      </c>
      <c r="K87" s="104">
        <f>+IF('Selector and Force Calculator'!$J$10=Sheet1!G87,1,0)</f>
        <v>1</v>
      </c>
      <c r="L87" s="97">
        <f>+IF('Selector and Force Calculator'!_xlnm.Extract=Sheet1!F87,1,0)</f>
        <v>0</v>
      </c>
      <c r="M87" s="97">
        <f>+IF('Selector and Force Calculator'!$J$11=Sheet1!H87,1,0)</f>
        <v>1</v>
      </c>
      <c r="N87" s="102">
        <f t="shared" si="2"/>
        <v>2</v>
      </c>
      <c r="O87" s="105" t="s">
        <v>180</v>
      </c>
      <c r="P87" s="105">
        <f t="shared" si="3"/>
        <v>0</v>
      </c>
      <c r="Q87" s="105">
        <v>0</v>
      </c>
      <c r="R87" s="109"/>
      <c r="S87" s="105"/>
    </row>
    <row r="88" spans="1:19" x14ac:dyDescent="0.2">
      <c r="A88" s="47" t="s">
        <v>181</v>
      </c>
      <c r="B88" s="46" t="s">
        <v>182</v>
      </c>
      <c r="C88" s="108" t="s">
        <v>181</v>
      </c>
      <c r="D88" s="97">
        <v>50</v>
      </c>
      <c r="E88" s="97">
        <v>63</v>
      </c>
      <c r="F88" s="101" t="s">
        <v>203</v>
      </c>
      <c r="G88" s="101" t="s">
        <v>204</v>
      </c>
      <c r="H88" s="103" t="s">
        <v>253</v>
      </c>
      <c r="I88" s="103" t="s">
        <v>206</v>
      </c>
      <c r="J88" s="97">
        <f>+IF(AND('Selector and Force Calculator'!$J$8&gt;Sheet1!D88,'Selector and Force Calculator'!$J$8&lt;=Sheet1!E88),1,0)</f>
        <v>0</v>
      </c>
      <c r="K88" s="104">
        <f>+IF('Selector and Force Calculator'!$J$10=Sheet1!G88,1,0)</f>
        <v>0</v>
      </c>
      <c r="L88" s="97">
        <f>+IF('Selector and Force Calculator'!_xlnm.Extract=Sheet1!F88,1,0)</f>
        <v>0</v>
      </c>
      <c r="M88" s="97">
        <f>+IF('Selector and Force Calculator'!$J$11=Sheet1!H88,1,0)</f>
        <v>1</v>
      </c>
      <c r="N88" s="102">
        <f t="shared" si="2"/>
        <v>1</v>
      </c>
      <c r="O88" s="105" t="s">
        <v>182</v>
      </c>
      <c r="P88" s="105">
        <f t="shared" si="3"/>
        <v>0</v>
      </c>
      <c r="Q88" s="105">
        <v>0</v>
      </c>
      <c r="R88" s="109"/>
      <c r="S88" s="105"/>
    </row>
    <row r="89" spans="1:19" x14ac:dyDescent="0.2">
      <c r="A89" s="47" t="s">
        <v>183</v>
      </c>
      <c r="B89" s="46" t="s">
        <v>184</v>
      </c>
      <c r="C89" s="108" t="s">
        <v>183</v>
      </c>
      <c r="D89" s="97">
        <v>50</v>
      </c>
      <c r="E89" s="97">
        <v>63</v>
      </c>
      <c r="F89" s="101" t="s">
        <v>203</v>
      </c>
      <c r="G89" s="101" t="s">
        <v>205</v>
      </c>
      <c r="H89" s="103" t="s">
        <v>253</v>
      </c>
      <c r="I89" s="103" t="s">
        <v>206</v>
      </c>
      <c r="J89" s="97">
        <f>+IF(AND('Selector and Force Calculator'!$J$8&gt;Sheet1!D89,'Selector and Force Calculator'!$J$8&lt;=Sheet1!E89),1,0)</f>
        <v>0</v>
      </c>
      <c r="K89" s="104">
        <f>+IF('Selector and Force Calculator'!$J$10=Sheet1!G89,1,0)</f>
        <v>0</v>
      </c>
      <c r="L89" s="97">
        <f>+IF('Selector and Force Calculator'!_xlnm.Extract=Sheet1!F89,1,0)</f>
        <v>0</v>
      </c>
      <c r="M89" s="97">
        <f>+IF('Selector and Force Calculator'!$J$11=Sheet1!H89,1,0)</f>
        <v>1</v>
      </c>
      <c r="N89" s="102">
        <f t="shared" si="2"/>
        <v>1</v>
      </c>
      <c r="O89" s="105" t="s">
        <v>184</v>
      </c>
      <c r="P89" s="105">
        <f t="shared" si="3"/>
        <v>0</v>
      </c>
      <c r="Q89" s="105">
        <v>0</v>
      </c>
      <c r="R89" s="109"/>
      <c r="S89" s="105"/>
    </row>
    <row r="90" spans="1:19" x14ac:dyDescent="0.2">
      <c r="A90" s="47" t="s">
        <v>185</v>
      </c>
      <c r="B90" s="46" t="s">
        <v>186</v>
      </c>
      <c r="C90" s="108" t="s">
        <v>185</v>
      </c>
      <c r="D90" s="97"/>
      <c r="E90" s="97"/>
      <c r="F90" s="101"/>
      <c r="G90" s="101"/>
      <c r="H90" s="103"/>
      <c r="I90" s="103"/>
      <c r="J90" s="97">
        <f>+IF(AND('Selector and Force Calculator'!$J$8&gt;Sheet1!D90,'Selector and Force Calculator'!$J$8&lt;=Sheet1!E90),1,0)</f>
        <v>0</v>
      </c>
      <c r="K90" s="104">
        <f>+IF('Selector and Force Calculator'!$J$10=Sheet1!G90,1,0)</f>
        <v>0</v>
      </c>
      <c r="L90" s="97">
        <f>+IF('Selector and Force Calculator'!_xlnm.Extract=Sheet1!F90,1,0)</f>
        <v>0</v>
      </c>
      <c r="M90" s="97">
        <f>+IF('Selector and Force Calculator'!$J$11=Sheet1!H90,1,0)</f>
        <v>0</v>
      </c>
      <c r="N90" s="102">
        <f t="shared" si="2"/>
        <v>0</v>
      </c>
      <c r="O90" s="105" t="s">
        <v>186</v>
      </c>
      <c r="P90" s="105">
        <f t="shared" si="3"/>
        <v>0</v>
      </c>
      <c r="Q90" s="105">
        <v>0</v>
      </c>
      <c r="R90" s="109"/>
      <c r="S90" s="105"/>
    </row>
    <row r="91" spans="1:19" x14ac:dyDescent="0.2">
      <c r="A91" s="47" t="s">
        <v>187</v>
      </c>
      <c r="B91" s="46" t="s">
        <v>188</v>
      </c>
      <c r="C91" s="108" t="s">
        <v>187</v>
      </c>
      <c r="D91" s="97"/>
      <c r="E91" s="97"/>
      <c r="F91" s="101"/>
      <c r="G91" s="101"/>
      <c r="H91" s="103"/>
      <c r="I91" s="103"/>
      <c r="J91" s="97">
        <f>+IF(AND('Selector and Force Calculator'!$J$8&gt;Sheet1!D91,'Selector and Force Calculator'!$J$8&lt;=Sheet1!E91),1,0)</f>
        <v>0</v>
      </c>
      <c r="K91" s="104">
        <f>+IF('Selector and Force Calculator'!$J$10=Sheet1!G91,1,0)</f>
        <v>0</v>
      </c>
      <c r="L91" s="97">
        <f>+IF('Selector and Force Calculator'!_xlnm.Extract=Sheet1!F91,1,0)</f>
        <v>0</v>
      </c>
      <c r="M91" s="97">
        <f>+IF('Selector and Force Calculator'!$J$11=Sheet1!H91,1,0)</f>
        <v>0</v>
      </c>
      <c r="N91" s="102">
        <f t="shared" si="2"/>
        <v>0</v>
      </c>
      <c r="O91" s="105" t="s">
        <v>188</v>
      </c>
      <c r="P91" s="105">
        <f t="shared" si="3"/>
        <v>0</v>
      </c>
      <c r="Q91" s="105">
        <v>0</v>
      </c>
      <c r="R91" s="109"/>
      <c r="S91" s="105"/>
    </row>
    <row r="92" spans="1:19" x14ac:dyDescent="0.2">
      <c r="A92" s="45" t="s">
        <v>189</v>
      </c>
      <c r="B92" s="46" t="s">
        <v>190</v>
      </c>
      <c r="C92" s="101" t="s">
        <v>189</v>
      </c>
      <c r="D92" s="97">
        <v>63</v>
      </c>
      <c r="E92" s="97">
        <v>75.000000000100002</v>
      </c>
      <c r="F92" s="101" t="s">
        <v>203</v>
      </c>
      <c r="G92" s="101" t="s">
        <v>232</v>
      </c>
      <c r="H92" s="103" t="s">
        <v>252</v>
      </c>
      <c r="I92" s="103" t="s">
        <v>207</v>
      </c>
      <c r="J92" s="97">
        <f>+IF(AND('Selector and Force Calculator'!$J$8&gt;Sheet1!D92,'Selector and Force Calculator'!$J$8&lt;=Sheet1!E92),1,0)</f>
        <v>0</v>
      </c>
      <c r="K92" s="104">
        <f>+IF('Selector and Force Calculator'!$J$10=Sheet1!G92,1,0)</f>
        <v>0</v>
      </c>
      <c r="L92" s="97">
        <f>+IF('Selector and Force Calculator'!_xlnm.Extract=Sheet1!F92,1,0)</f>
        <v>0</v>
      </c>
      <c r="M92" s="97">
        <f>+IF('Selector and Force Calculator'!$J$11=Sheet1!H92,1,0)</f>
        <v>0</v>
      </c>
      <c r="N92" s="102">
        <f t="shared" si="2"/>
        <v>0</v>
      </c>
      <c r="O92" s="105" t="s">
        <v>190</v>
      </c>
      <c r="P92" s="105">
        <f t="shared" si="3"/>
        <v>1</v>
      </c>
      <c r="Q92" s="105">
        <v>1</v>
      </c>
      <c r="R92" s="109">
        <v>32040</v>
      </c>
      <c r="S92" s="105"/>
    </row>
    <row r="93" spans="1:19" x14ac:dyDescent="0.2">
      <c r="A93" s="45" t="s">
        <v>191</v>
      </c>
      <c r="B93" s="46" t="s">
        <v>192</v>
      </c>
      <c r="C93" s="101" t="s">
        <v>191</v>
      </c>
      <c r="D93" s="97">
        <v>63</v>
      </c>
      <c r="E93" s="97">
        <v>75.000000000100002</v>
      </c>
      <c r="F93" s="101" t="s">
        <v>203</v>
      </c>
      <c r="G93" s="101" t="s">
        <v>232</v>
      </c>
      <c r="H93" s="103" t="s">
        <v>253</v>
      </c>
      <c r="I93" s="103" t="s">
        <v>207</v>
      </c>
      <c r="J93" s="97">
        <f>+IF(AND('Selector and Force Calculator'!$J$8&gt;Sheet1!D93,'Selector and Force Calculator'!$J$8&lt;=Sheet1!E93),1,0)</f>
        <v>0</v>
      </c>
      <c r="K93" s="104">
        <f>+IF('Selector and Force Calculator'!$J$10=Sheet1!G93,1,0)</f>
        <v>0</v>
      </c>
      <c r="L93" s="97">
        <f>+IF('Selector and Force Calculator'!_xlnm.Extract=Sheet1!F93,1,0)</f>
        <v>0</v>
      </c>
      <c r="M93" s="97">
        <f>+IF('Selector and Force Calculator'!$J$11=Sheet1!H93,1,0)</f>
        <v>1</v>
      </c>
      <c r="N93" s="102">
        <f t="shared" si="2"/>
        <v>1</v>
      </c>
      <c r="O93" s="105" t="s">
        <v>192</v>
      </c>
      <c r="P93" s="105">
        <f t="shared" si="3"/>
        <v>0</v>
      </c>
      <c r="Q93" s="105">
        <v>0</v>
      </c>
      <c r="R93" s="109"/>
      <c r="S93" s="105"/>
    </row>
    <row r="94" spans="1:19" x14ac:dyDescent="0.2">
      <c r="A94" s="45" t="s">
        <v>193</v>
      </c>
      <c r="B94" s="46" t="s">
        <v>194</v>
      </c>
      <c r="C94" s="101" t="s">
        <v>193</v>
      </c>
      <c r="D94" s="97">
        <v>63</v>
      </c>
      <c r="E94" s="97">
        <v>75.000000000100002</v>
      </c>
      <c r="F94" s="101" t="s">
        <v>203</v>
      </c>
      <c r="G94" s="101" t="s">
        <v>208</v>
      </c>
      <c r="H94" s="103" t="s">
        <v>253</v>
      </c>
      <c r="I94" s="103" t="s">
        <v>206</v>
      </c>
      <c r="J94" s="97">
        <f>+IF(AND('Selector and Force Calculator'!$J$8&gt;Sheet1!D94,'Selector and Force Calculator'!$J$8&lt;=Sheet1!E94),1,0)</f>
        <v>0</v>
      </c>
      <c r="K94" s="104">
        <f>+IF('Selector and Force Calculator'!$J$10=Sheet1!G94,1,0)</f>
        <v>1</v>
      </c>
      <c r="L94" s="97">
        <f>+IF('Selector and Force Calculator'!_xlnm.Extract=Sheet1!F94,1,0)</f>
        <v>0</v>
      </c>
      <c r="M94" s="97">
        <f>+IF('Selector and Force Calculator'!$J$11=Sheet1!H94,1,0)</f>
        <v>1</v>
      </c>
      <c r="N94" s="102">
        <f t="shared" si="2"/>
        <v>2</v>
      </c>
      <c r="O94" s="105" t="s">
        <v>194</v>
      </c>
      <c r="P94" s="105">
        <f t="shared" si="3"/>
        <v>0</v>
      </c>
      <c r="Q94" s="105">
        <v>0</v>
      </c>
      <c r="R94" s="109"/>
      <c r="S94" s="105"/>
    </row>
    <row r="95" spans="1:19" x14ac:dyDescent="0.2">
      <c r="A95" s="45" t="s">
        <v>195</v>
      </c>
      <c r="B95" s="46" t="s">
        <v>196</v>
      </c>
      <c r="C95" s="101" t="s">
        <v>195</v>
      </c>
      <c r="D95" s="97">
        <v>63</v>
      </c>
      <c r="E95" s="97">
        <v>75.000000000100002</v>
      </c>
      <c r="F95" s="101" t="s">
        <v>203</v>
      </c>
      <c r="G95" s="101" t="s">
        <v>204</v>
      </c>
      <c r="H95" s="103" t="s">
        <v>253</v>
      </c>
      <c r="I95" s="103" t="s">
        <v>206</v>
      </c>
      <c r="J95" s="97">
        <f>+IF(AND('Selector and Force Calculator'!$J$8&gt;Sheet1!D95,'Selector and Force Calculator'!$J$8&lt;=Sheet1!E95),1,0)</f>
        <v>0</v>
      </c>
      <c r="K95" s="104">
        <f>+IF('Selector and Force Calculator'!$J$10=Sheet1!G95,1,0)</f>
        <v>0</v>
      </c>
      <c r="L95" s="97">
        <f>+IF('Selector and Force Calculator'!_xlnm.Extract=Sheet1!F95,1,0)</f>
        <v>0</v>
      </c>
      <c r="M95" s="97">
        <f>+IF('Selector and Force Calculator'!$J$11=Sheet1!H95,1,0)</f>
        <v>1</v>
      </c>
      <c r="N95" s="102">
        <f t="shared" si="2"/>
        <v>1</v>
      </c>
      <c r="O95" s="105" t="s">
        <v>196</v>
      </c>
      <c r="P95" s="105">
        <f t="shared" si="3"/>
        <v>0</v>
      </c>
      <c r="Q95" s="105">
        <v>0</v>
      </c>
      <c r="R95" s="109"/>
      <c r="S95" s="105"/>
    </row>
    <row r="96" spans="1:19" x14ac:dyDescent="0.2">
      <c r="A96" s="45" t="s">
        <v>197</v>
      </c>
      <c r="B96" s="46" t="s">
        <v>198</v>
      </c>
      <c r="C96" s="101" t="s">
        <v>197</v>
      </c>
      <c r="D96" s="97">
        <v>63</v>
      </c>
      <c r="E96" s="97">
        <v>75.000000000100002</v>
      </c>
      <c r="F96" s="101" t="s">
        <v>203</v>
      </c>
      <c r="G96" s="101" t="s">
        <v>205</v>
      </c>
      <c r="H96" s="103" t="s">
        <v>253</v>
      </c>
      <c r="I96" s="103" t="s">
        <v>206</v>
      </c>
      <c r="J96" s="97">
        <f>+IF(AND('Selector and Force Calculator'!$J$8&gt;Sheet1!D96,'Selector and Force Calculator'!$J$8&lt;=Sheet1!E96),1,0)</f>
        <v>0</v>
      </c>
      <c r="K96" s="104">
        <f>+IF('Selector and Force Calculator'!$J$10=Sheet1!G96,1,0)</f>
        <v>0</v>
      </c>
      <c r="L96" s="97">
        <f>+IF('Selector and Force Calculator'!_xlnm.Extract=Sheet1!F96,1,0)</f>
        <v>0</v>
      </c>
      <c r="M96" s="97">
        <f>+IF('Selector and Force Calculator'!$J$11=Sheet1!H96,1,0)</f>
        <v>1</v>
      </c>
      <c r="N96" s="102">
        <f t="shared" si="2"/>
        <v>1</v>
      </c>
      <c r="O96" s="105" t="s">
        <v>198</v>
      </c>
      <c r="P96" s="105">
        <f t="shared" si="3"/>
        <v>0</v>
      </c>
      <c r="Q96" s="105">
        <v>0</v>
      </c>
      <c r="R96" s="109"/>
      <c r="S96" s="105"/>
    </row>
    <row r="97" spans="1:19" x14ac:dyDescent="0.2">
      <c r="A97" s="45" t="s">
        <v>199</v>
      </c>
      <c r="B97" s="46" t="s">
        <v>200</v>
      </c>
      <c r="C97" s="101" t="s">
        <v>199</v>
      </c>
      <c r="D97" s="97"/>
      <c r="E97" s="97"/>
      <c r="F97" s="101"/>
      <c r="G97" s="101"/>
      <c r="H97" s="103"/>
      <c r="I97" s="103"/>
      <c r="J97" s="97">
        <f>+IF(AND('Selector and Force Calculator'!$J$8&gt;Sheet1!D97,'Selector and Force Calculator'!$J$8&lt;=Sheet1!E97),1,0)</f>
        <v>0</v>
      </c>
      <c r="K97" s="104">
        <f>+IF('Selector and Force Calculator'!$J$10=Sheet1!G97,1,0)</f>
        <v>0</v>
      </c>
      <c r="L97" s="97">
        <f>+IF('Selector and Force Calculator'!_xlnm.Extract=Sheet1!F97,1,0)</f>
        <v>0</v>
      </c>
      <c r="M97" s="97">
        <f>+IF('Selector and Force Calculator'!$J$11=Sheet1!H97,1,0)</f>
        <v>0</v>
      </c>
      <c r="N97" s="102">
        <f t="shared" si="2"/>
        <v>0</v>
      </c>
      <c r="O97" s="105" t="s">
        <v>200</v>
      </c>
      <c r="P97" s="105">
        <f t="shared" si="3"/>
        <v>0</v>
      </c>
      <c r="Q97" s="105">
        <v>0</v>
      </c>
      <c r="R97" s="109"/>
      <c r="S97" s="105"/>
    </row>
  </sheetData>
  <sheetProtection algorithmName="SHA-512" hashValue="j2utb7aBzkhnrOksJxgWnGLbTu7pbNHFwj5sPvsqxK+g6EIAkXAS4A28ZAywO9um/Nd+UPhknpYy18tPzgofwQ==" saltValue="o38sWpgQvk+38d16WfBywA==" spinCount="100000" sheet="1" objects="1" scenarios="1" selectLockedCells="1" selectUnlockedCells="1"/>
  <dataValidations count="1">
    <dataValidation type="list" allowBlank="1" showInputMessage="1" showErrorMessage="1" sqref="T2:T4" xr:uid="{43E57294-C7FD-4994-BBFA-BEA8890EA374}">
      <formula1>$T$2:$T$4</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Selector and Force Calculator</vt:lpstr>
      <vt:lpstr>Sheet1</vt:lpstr>
      <vt:lpstr>'Selector and Force Calculator'!Extract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2021-04-20T07:16:57Z</dcterms:created>
  <dcterms:modified xsi:type="dcterms:W3CDTF">2022-01-25T17:15:44Z</dcterms:modified>
</cp:coreProperties>
</file>